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arbontrust.sharepoint.com/sites/Project-EUCommission-EGDCMovestoAction-Aug24/Shared Documents/General/3. Working Documents/Task 2 - Case Studies/4. Case Study Development/1. Batch 1 - July 2025/05. Neuropublic/Calculator/"/>
    </mc:Choice>
  </mc:AlternateContent>
  <xr:revisionPtr revIDLastSave="16" documentId="8_{281634AE-18E1-417B-98C4-8B80CA247FB5}" xr6:coauthVersionLast="47" xr6:coauthVersionMax="47" xr10:uidLastSave="{00366288-5066-4D1F-A601-683C0C3840AB}"/>
  <bookViews>
    <workbookView xWindow="-28920" yWindow="-120" windowWidth="29040" windowHeight="15720" tabRatio="760" activeTab="2" xr2:uid="{15349051-7A3C-4697-B3AF-894DBFD883E2}"/>
  </bookViews>
  <sheets>
    <sheet name="Disclaimer" sheetId="20" r:id="rId1"/>
    <sheet name="Calculator" sheetId="9" r:id="rId2"/>
    <sheet name="Backend" sheetId="10" r:id="rId3"/>
    <sheet name="Uncertainty Analysis" sheetId="34" r:id="rId4"/>
    <sheet name="Sensitivity Analysis" sheetId="19" r:id="rId5"/>
    <sheet name="Reference Data" sheetId="21" r:id="rId6"/>
    <sheet name="FirstOrderEffectsComponents" sheetId="28" r:id="rId7"/>
    <sheet name="Emission Factors" sheetId="24" r:id="rId8"/>
    <sheet name="R_Scenario_2022(FPS)" sheetId="31" r:id="rId9"/>
    <sheet name="DS_Scenario_2024(FPS)" sheetId="33" r:id="rId10"/>
  </sheets>
  <definedNames>
    <definedName name="Kg_product_ref">Backend!$E$40</definedName>
    <definedName name="Kg_product_soln">Backend!$F$40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1" i="10" l="1"/>
  <c r="M80" i="10"/>
  <c r="M79" i="10"/>
  <c r="M73" i="10" l="1"/>
  <c r="M74" i="10"/>
  <c r="M52" i="10"/>
  <c r="M27" i="10"/>
  <c r="C41" i="9"/>
  <c r="C42" i="9"/>
  <c r="C43" i="9"/>
  <c r="F40" i="10"/>
  <c r="E40" i="10"/>
  <c r="E25" i="10"/>
  <c r="M67" i="10"/>
  <c r="M50" i="10"/>
  <c r="M26" i="10"/>
  <c r="C106" i="21"/>
  <c r="G106" i="21" s="1"/>
  <c r="C105" i="21"/>
  <c r="G105" i="21" s="1"/>
  <c r="M62" i="10"/>
  <c r="M57" i="10"/>
  <c r="D25" i="28"/>
  <c r="D27" i="28"/>
  <c r="D26" i="28"/>
  <c r="D24" i="28"/>
  <c r="H13" i="28"/>
  <c r="H12" i="28"/>
  <c r="H9" i="28"/>
  <c r="H8" i="28"/>
  <c r="C7" i="19" l="1"/>
  <c r="D7" i="19"/>
  <c r="C8" i="19"/>
  <c r="D8" i="19"/>
  <c r="C9" i="19"/>
  <c r="D9" i="19"/>
  <c r="C10" i="19"/>
  <c r="D10" i="19"/>
  <c r="C11" i="19"/>
  <c r="D11" i="19"/>
  <c r="C12" i="19"/>
  <c r="D12" i="19"/>
  <c r="C13" i="19"/>
  <c r="D13" i="19"/>
  <c r="C14" i="19"/>
  <c r="D14" i="19"/>
  <c r="C15" i="19"/>
  <c r="D15" i="19"/>
  <c r="C16" i="19"/>
  <c r="D16" i="19"/>
  <c r="C17" i="19"/>
  <c r="D17" i="19"/>
  <c r="C18" i="19"/>
  <c r="D18" i="19"/>
  <c r="C19" i="19"/>
  <c r="D19" i="19"/>
  <c r="D6" i="19"/>
  <c r="C6" i="19"/>
  <c r="E5" i="19"/>
  <c r="D5" i="19"/>
  <c r="C5" i="19"/>
  <c r="I5" i="19"/>
  <c r="H5" i="19"/>
  <c r="O23" i="34"/>
  <c r="E12" i="19" s="1"/>
  <c r="O22" i="34"/>
  <c r="Q22" i="34" s="1"/>
  <c r="D11" i="34"/>
  <c r="D10" i="34"/>
  <c r="D9" i="34"/>
  <c r="D8" i="34"/>
  <c r="D7" i="34"/>
  <c r="D6" i="34"/>
  <c r="D5" i="34"/>
  <c r="M30" i="34"/>
  <c r="L30" i="34"/>
  <c r="K30" i="34"/>
  <c r="J30" i="34"/>
  <c r="M29" i="34"/>
  <c r="L29" i="34"/>
  <c r="K29" i="34"/>
  <c r="J29" i="34"/>
  <c r="M28" i="34"/>
  <c r="L28" i="34"/>
  <c r="K28" i="34"/>
  <c r="J28" i="34"/>
  <c r="N28" i="34" s="1"/>
  <c r="M27" i="34"/>
  <c r="L27" i="34"/>
  <c r="K27" i="34"/>
  <c r="J27" i="34"/>
  <c r="M26" i="34"/>
  <c r="L26" i="34"/>
  <c r="K26" i="34"/>
  <c r="J26" i="34"/>
  <c r="N26" i="34" s="1"/>
  <c r="M25" i="34"/>
  <c r="L25" i="34"/>
  <c r="K25" i="34"/>
  <c r="J25" i="34"/>
  <c r="N25" i="34" s="1"/>
  <c r="M24" i="34"/>
  <c r="L24" i="34"/>
  <c r="K24" i="34"/>
  <c r="J24" i="34"/>
  <c r="N24" i="34" s="1"/>
  <c r="M23" i="34"/>
  <c r="L23" i="34"/>
  <c r="K23" i="34"/>
  <c r="J23" i="34"/>
  <c r="N23" i="34" s="1"/>
  <c r="M22" i="34"/>
  <c r="L22" i="34"/>
  <c r="K22" i="34"/>
  <c r="J22" i="34"/>
  <c r="N22" i="34" s="1"/>
  <c r="M21" i="34"/>
  <c r="L21" i="34"/>
  <c r="K21" i="34"/>
  <c r="J21" i="34"/>
  <c r="N21" i="34" s="1"/>
  <c r="M20" i="34"/>
  <c r="L20" i="34"/>
  <c r="K20" i="34"/>
  <c r="J20" i="34"/>
  <c r="N20" i="34" s="1"/>
  <c r="M19" i="34"/>
  <c r="L19" i="34"/>
  <c r="K19" i="34"/>
  <c r="J19" i="34"/>
  <c r="N19" i="34" s="1"/>
  <c r="M18" i="34"/>
  <c r="L18" i="34"/>
  <c r="K18" i="34"/>
  <c r="J18" i="34"/>
  <c r="N18" i="34" s="1"/>
  <c r="M17" i="34"/>
  <c r="L17" i="34"/>
  <c r="K17" i="34"/>
  <c r="J17" i="34"/>
  <c r="P23" i="34" l="1"/>
  <c r="E11" i="19"/>
  <c r="P22" i="34"/>
  <c r="Q23" i="34"/>
  <c r="N27" i="34"/>
  <c r="N17" i="34"/>
  <c r="N29" i="34"/>
  <c r="N30" i="34"/>
  <c r="E86" i="10"/>
  <c r="E87" i="10"/>
  <c r="C86" i="10"/>
  <c r="C87" i="10"/>
  <c r="D62" i="21"/>
  <c r="D63" i="21"/>
  <c r="D32" i="28" l="1"/>
  <c r="D36" i="24" l="1"/>
  <c r="D38" i="24"/>
  <c r="D43" i="24"/>
  <c r="D44" i="24"/>
  <c r="D45" i="24"/>
  <c r="D42" i="24"/>
  <c r="D56" i="24" l="1"/>
  <c r="E99" i="10" s="1"/>
  <c r="J10" i="33"/>
  <c r="B97" i="10"/>
  <c r="D97" i="10"/>
  <c r="H11" i="28"/>
  <c r="O20" i="34" s="1"/>
  <c r="H10" i="28"/>
  <c r="O19" i="34" s="1"/>
  <c r="O18" i="34"/>
  <c r="C29" i="9"/>
  <c r="C28" i="9"/>
  <c r="J31" i="33"/>
  <c r="C31" i="9"/>
  <c r="C30" i="9"/>
  <c r="C36" i="9"/>
  <c r="C35" i="9"/>
  <c r="Q19" i="34" l="1"/>
  <c r="E8" i="19"/>
  <c r="P19" i="34"/>
  <c r="P20" i="34"/>
  <c r="E9" i="19"/>
  <c r="Q20" i="34"/>
  <c r="D38" i="28"/>
  <c r="O21" i="34"/>
  <c r="D37" i="28"/>
  <c r="O17" i="34"/>
  <c r="P18" i="34"/>
  <c r="Q18" i="34"/>
  <c r="E7" i="19"/>
  <c r="D35" i="28"/>
  <c r="D34" i="28"/>
  <c r="D36" i="28" s="1"/>
  <c r="E47" i="10" s="1"/>
  <c r="F47" i="10" s="1"/>
  <c r="D28" i="28"/>
  <c r="D29" i="28"/>
  <c r="D31" i="28"/>
  <c r="D33" i="28" s="1"/>
  <c r="E46" i="10" s="1"/>
  <c r="F46" i="10" s="1"/>
  <c r="E44" i="10"/>
  <c r="C98" i="10"/>
  <c r="D103" i="10"/>
  <c r="D104" i="10"/>
  <c r="D105" i="10"/>
  <c r="D106" i="10"/>
  <c r="D107" i="10"/>
  <c r="C103" i="10"/>
  <c r="C104" i="10"/>
  <c r="C105" i="10"/>
  <c r="C106" i="10"/>
  <c r="C107" i="10"/>
  <c r="B107" i="10"/>
  <c r="B104" i="10"/>
  <c r="B105" i="10"/>
  <c r="B106" i="10"/>
  <c r="B103" i="10"/>
  <c r="D39" i="28" l="1"/>
  <c r="E48" i="10" s="1"/>
  <c r="F48" i="10" s="1"/>
  <c r="Q21" i="34"/>
  <c r="E10" i="19"/>
  <c r="P21" i="34"/>
  <c r="E6" i="19"/>
  <c r="Q17" i="34"/>
  <c r="P17" i="34"/>
  <c r="O24" i="34"/>
  <c r="F44" i="10"/>
  <c r="D30" i="28"/>
  <c r="E45" i="10" s="1"/>
  <c r="F45" i="10" s="1"/>
  <c r="D90" i="21"/>
  <c r="D88" i="21"/>
  <c r="D89" i="21"/>
  <c r="D86" i="21"/>
  <c r="D87" i="21"/>
  <c r="N12" i="19"/>
  <c r="E62" i="24" l="1"/>
  <c r="E13" i="19"/>
  <c r="P24" i="34"/>
  <c r="F5" i="34" s="1"/>
  <c r="Q24" i="34"/>
  <c r="G5" i="34" s="1"/>
  <c r="E5" i="34"/>
  <c r="J17" i="33"/>
  <c r="D44" i="21" s="1"/>
  <c r="C37" i="9"/>
  <c r="F25" i="10"/>
  <c r="B95" i="21"/>
  <c r="J79" i="33" l="1"/>
  <c r="J43" i="33"/>
  <c r="D49" i="21" s="1"/>
  <c r="J22" i="33"/>
  <c r="D47" i="21" s="1"/>
  <c r="C27" i="9"/>
  <c r="J20" i="33"/>
  <c r="D46" i="21" s="1"/>
  <c r="F37" i="10" s="1"/>
  <c r="J13" i="33"/>
  <c r="D41" i="21" s="1"/>
  <c r="J14" i="33"/>
  <c r="D42" i="21" s="1"/>
  <c r="J15" i="33"/>
  <c r="D43" i="21" s="1"/>
  <c r="C32" i="9"/>
  <c r="C33" i="9"/>
  <c r="C34" i="9"/>
  <c r="F26" i="10" l="1"/>
  <c r="F32" i="10"/>
  <c r="F31" i="10"/>
  <c r="F30" i="10"/>
  <c r="D50" i="21"/>
  <c r="F28" i="10" s="1"/>
  <c r="C90" i="21"/>
  <c r="F39" i="10" l="1"/>
  <c r="D77" i="10"/>
  <c r="D78" i="10"/>
  <c r="D76" i="10"/>
  <c r="D83" i="10"/>
  <c r="D84" i="10"/>
  <c r="D85" i="10"/>
  <c r="D80" i="10"/>
  <c r="D81" i="10"/>
  <c r="D82" i="10"/>
  <c r="D91" i="21" l="1"/>
  <c r="D79" i="10"/>
  <c r="B63" i="10" l="1"/>
  <c r="F35" i="10"/>
  <c r="E20" i="10"/>
  <c r="E38" i="10" s="1"/>
  <c r="D35" i="24"/>
  <c r="J56" i="31" l="1"/>
  <c r="J67" i="33" l="1"/>
  <c r="E97" i="10" l="1"/>
  <c r="E54" i="10"/>
  <c r="M37" i="10" s="1"/>
  <c r="C23" i="9" l="1"/>
  <c r="F29" i="10" l="1"/>
  <c r="E52" i="10"/>
  <c r="N19" i="19" l="1"/>
  <c r="N13" i="19"/>
  <c r="N14" i="19"/>
  <c r="N15" i="19"/>
  <c r="N16" i="19"/>
  <c r="N11" i="19"/>
  <c r="N9" i="19"/>
  <c r="N10" i="19"/>
  <c r="C76" i="10"/>
  <c r="J62" i="33" l="1"/>
  <c r="J64" i="33"/>
  <c r="E98" i="10"/>
  <c r="M35" i="10" s="1"/>
  <c r="B98" i="10"/>
  <c r="B57" i="10"/>
  <c r="E57" i="10"/>
  <c r="C89" i="10"/>
  <c r="C88" i="10"/>
  <c r="C84" i="10"/>
  <c r="C85" i="10"/>
  <c r="C83" i="10"/>
  <c r="C80" i="10"/>
  <c r="C81" i="10"/>
  <c r="C82" i="10"/>
  <c r="C79" i="10"/>
  <c r="C77" i="10"/>
  <c r="C78" i="10"/>
  <c r="D7" i="21"/>
  <c r="D19" i="21"/>
  <c r="E9" i="10" s="1"/>
  <c r="D18" i="21"/>
  <c r="E10" i="10" s="1"/>
  <c r="D17" i="21"/>
  <c r="E11" i="10" s="1"/>
  <c r="D14" i="21"/>
  <c r="E18" i="10" s="1"/>
  <c r="D15" i="21"/>
  <c r="E19" i="10" s="1"/>
  <c r="E37" i="10" s="1"/>
  <c r="D13" i="21"/>
  <c r="E17" i="10" s="1"/>
  <c r="D12" i="21"/>
  <c r="H105" i="21" s="1"/>
  <c r="D11" i="21"/>
  <c r="D10" i="21"/>
  <c r="E14" i="10" s="1"/>
  <c r="E31" i="10" s="1"/>
  <c r="M14" i="10" s="1"/>
  <c r="D9" i="21"/>
  <c r="E13" i="10" s="1"/>
  <c r="E30" i="10" s="1"/>
  <c r="D8" i="21"/>
  <c r="E12" i="10" s="1"/>
  <c r="D61" i="21" l="1"/>
  <c r="H106" i="21"/>
  <c r="H100" i="21"/>
  <c r="G100" i="21"/>
  <c r="I100" i="21"/>
  <c r="J100" i="21" s="1"/>
  <c r="D25" i="21"/>
  <c r="D66" i="21"/>
  <c r="D68" i="21"/>
  <c r="D53" i="21"/>
  <c r="D57" i="21" s="1"/>
  <c r="D51" i="21"/>
  <c r="D52" i="21"/>
  <c r="D56" i="21" s="1"/>
  <c r="D69" i="21"/>
  <c r="G37" i="10"/>
  <c r="E15" i="10"/>
  <c r="E33" i="10" s="1"/>
  <c r="G33" i="10" s="1"/>
  <c r="G30" i="10"/>
  <c r="C93" i="10"/>
  <c r="M16" i="10" s="1"/>
  <c r="E16" i="10"/>
  <c r="E34" i="10" s="1"/>
  <c r="G31" i="10"/>
  <c r="G32" i="10"/>
  <c r="F34" i="10"/>
  <c r="D29" i="21"/>
  <c r="D33" i="21" s="1"/>
  <c r="E79" i="10" s="1"/>
  <c r="D21" i="21"/>
  <c r="D24" i="21"/>
  <c r="D23" i="21"/>
  <c r="D28" i="21" s="1"/>
  <c r="E78" i="10" s="1"/>
  <c r="D22" i="21"/>
  <c r="D27" i="21" s="1"/>
  <c r="E77" i="10" s="1"/>
  <c r="D30" i="21"/>
  <c r="D34" i="21" s="1"/>
  <c r="E80" i="10" s="1"/>
  <c r="D54" i="21"/>
  <c r="D37" i="21"/>
  <c r="D38" i="21"/>
  <c r="D32" i="21"/>
  <c r="D36" i="21" s="1"/>
  <c r="E82" i="10" s="1"/>
  <c r="M20" i="10" s="1"/>
  <c r="D39" i="21"/>
  <c r="D31" i="21"/>
  <c r="D35" i="21" s="1"/>
  <c r="E81" i="10" s="1"/>
  <c r="E85" i="10" l="1"/>
  <c r="M32" i="10" s="1"/>
  <c r="E84" i="10"/>
  <c r="D65" i="21"/>
  <c r="E89" i="10" s="1"/>
  <c r="M12" i="10"/>
  <c r="M9" i="10"/>
  <c r="D55" i="21"/>
  <c r="E83" i="10" s="1"/>
  <c r="G34" i="10"/>
  <c r="D26" i="21"/>
  <c r="E76" i="10" s="1"/>
  <c r="D37" i="24"/>
  <c r="D34" i="24"/>
  <c r="C95" i="21"/>
  <c r="E8" i="10"/>
  <c r="M6" i="10" l="1"/>
  <c r="I12" i="19"/>
  <c r="H12" i="19"/>
  <c r="D93" i="10"/>
  <c r="M41" i="10" s="1"/>
  <c r="C94" i="10"/>
  <c r="M15" i="10" s="1"/>
  <c r="E27" i="10"/>
  <c r="E62" i="10"/>
  <c r="E61" i="10"/>
  <c r="M47" i="10" s="1"/>
  <c r="C64" i="10"/>
  <c r="E64" i="10"/>
  <c r="C65" i="10"/>
  <c r="E65" i="10"/>
  <c r="C66" i="10"/>
  <c r="E66" i="10"/>
  <c r="C67" i="10"/>
  <c r="E67" i="10"/>
  <c r="C68" i="10"/>
  <c r="E68" i="10"/>
  <c r="C69" i="10"/>
  <c r="E69" i="10"/>
  <c r="C70" i="10"/>
  <c r="E70" i="10"/>
  <c r="C71" i="10"/>
  <c r="E71" i="10"/>
  <c r="B71" i="10"/>
  <c r="B69" i="10"/>
  <c r="B70" i="10"/>
  <c r="B68" i="10"/>
  <c r="B67" i="10"/>
  <c r="B65" i="10"/>
  <c r="B66" i="10"/>
  <c r="B64" i="10"/>
  <c r="C110" i="10"/>
  <c r="B110" i="10"/>
  <c r="E53" i="10"/>
  <c r="M34" i="10" s="1"/>
  <c r="E55" i="10"/>
  <c r="M38" i="10" s="1"/>
  <c r="E56" i="10"/>
  <c r="E58" i="10"/>
  <c r="E59" i="10"/>
  <c r="M18" i="10" s="1"/>
  <c r="E60" i="10"/>
  <c r="B62" i="10"/>
  <c r="B61" i="10"/>
  <c r="B60" i="10"/>
  <c r="B59" i="10"/>
  <c r="B58" i="10"/>
  <c r="B53" i="10"/>
  <c r="B54" i="10"/>
  <c r="B55" i="10"/>
  <c r="B56" i="10"/>
  <c r="B52" i="10"/>
  <c r="B45" i="10"/>
  <c r="B46" i="10"/>
  <c r="B47" i="10"/>
  <c r="B48" i="10"/>
  <c r="B44" i="10"/>
  <c r="E29" i="10"/>
  <c r="M8" i="10" s="1"/>
  <c r="J27" i="31"/>
  <c r="D20" i="21" s="1"/>
  <c r="E28" i="10"/>
  <c r="J75" i="33"/>
  <c r="J69" i="33"/>
  <c r="J68" i="33"/>
  <c r="J59" i="33"/>
  <c r="J57" i="33"/>
  <c r="H41" i="33"/>
  <c r="J41" i="33" s="1"/>
  <c r="D48" i="21" s="1"/>
  <c r="E16" i="33"/>
  <c r="E15" i="33"/>
  <c r="J83" i="31"/>
  <c r="J79" i="31"/>
  <c r="J75" i="31"/>
  <c r="J71" i="31"/>
  <c r="J66" i="31"/>
  <c r="J64" i="31"/>
  <c r="J61" i="31"/>
  <c r="J60" i="31"/>
  <c r="J59" i="31"/>
  <c r="J54" i="31"/>
  <c r="E17" i="31"/>
  <c r="E15" i="31"/>
  <c r="E14" i="31"/>
  <c r="M42" i="10" l="1"/>
  <c r="M44" i="10"/>
  <c r="M43" i="10"/>
  <c r="M17" i="10"/>
  <c r="M33" i="10"/>
  <c r="M49" i="10"/>
  <c r="M24" i="10"/>
  <c r="M36" i="10"/>
  <c r="M39" i="10"/>
  <c r="M13" i="10"/>
  <c r="M10" i="10"/>
  <c r="M7" i="10"/>
  <c r="G25" i="10"/>
  <c r="F27" i="10"/>
  <c r="D67" i="21"/>
  <c r="M19" i="10"/>
  <c r="M40" i="10"/>
  <c r="D40" i="21"/>
  <c r="E21" i="10"/>
  <c r="E39" i="10" s="1"/>
  <c r="G28" i="10"/>
  <c r="G29" i="10"/>
  <c r="M23" i="10"/>
  <c r="M11" i="10"/>
  <c r="M58" i="10"/>
  <c r="O25" i="34" s="1"/>
  <c r="E63" i="10"/>
  <c r="E35" i="10"/>
  <c r="E26" i="10"/>
  <c r="E36" i="10"/>
  <c r="E14" i="19" l="1"/>
  <c r="Q25" i="34"/>
  <c r="G6" i="34" s="1"/>
  <c r="P25" i="34"/>
  <c r="F6" i="34" s="1"/>
  <c r="E6" i="34"/>
  <c r="G40" i="10"/>
  <c r="G39" i="10"/>
  <c r="M21" i="10"/>
  <c r="G27" i="10"/>
  <c r="M48" i="10"/>
  <c r="G26" i="10"/>
  <c r="M22" i="10"/>
  <c r="G35" i="10"/>
  <c r="G36" i="10"/>
  <c r="M46" i="10"/>
  <c r="M60" i="10"/>
  <c r="O27" i="34" s="1"/>
  <c r="O30" i="34" l="1"/>
  <c r="E19" i="19" s="1"/>
  <c r="Q27" i="34"/>
  <c r="G8" i="34" s="1"/>
  <c r="E16" i="19"/>
  <c r="P27" i="34"/>
  <c r="F8" i="34" s="1"/>
  <c r="E8" i="34"/>
  <c r="I11" i="19"/>
  <c r="H11" i="19"/>
  <c r="E65" i="24"/>
  <c r="H14" i="19"/>
  <c r="I14" i="19"/>
  <c r="M25" i="10"/>
  <c r="M59" i="10"/>
  <c r="O26" i="34" s="1"/>
  <c r="H9" i="19"/>
  <c r="I9" i="19"/>
  <c r="M61" i="10"/>
  <c r="O28" i="34" s="1"/>
  <c r="H10" i="19"/>
  <c r="I10" i="19"/>
  <c r="N6" i="19"/>
  <c r="N7" i="19"/>
  <c r="N8" i="19"/>
  <c r="N18" i="19"/>
  <c r="N17" i="19"/>
  <c r="H16" i="19" l="1"/>
  <c r="I16" i="19"/>
  <c r="E17" i="19"/>
  <c r="P28" i="34"/>
  <c r="F9" i="34" s="1"/>
  <c r="Q28" i="34"/>
  <c r="G9" i="34" s="1"/>
  <c r="E9" i="34"/>
  <c r="P26" i="34"/>
  <c r="F7" i="34" s="1"/>
  <c r="E15" i="19"/>
  <c r="Q26" i="34"/>
  <c r="G7" i="34" s="1"/>
  <c r="E7" i="34"/>
  <c r="E11" i="34"/>
  <c r="Q30" i="34"/>
  <c r="G11" i="34" s="1"/>
  <c r="P30" i="34"/>
  <c r="F11" i="34" s="1"/>
  <c r="E64" i="24"/>
  <c r="E63" i="24"/>
  <c r="H19" i="19" s="1"/>
  <c r="H6" i="19"/>
  <c r="I6" i="19"/>
  <c r="H8" i="19"/>
  <c r="I8" i="19"/>
  <c r="H7" i="19"/>
  <c r="I7" i="19"/>
  <c r="H15" i="19" l="1"/>
  <c r="I15" i="19"/>
  <c r="I19" i="19"/>
  <c r="E66" i="24"/>
  <c r="B5" i="10" l="1"/>
  <c r="I17" i="19" l="1"/>
  <c r="H17" i="19"/>
  <c r="J19" i="33" l="1"/>
  <c r="D45" i="21" s="1"/>
  <c r="F38" i="10" s="1"/>
  <c r="D60" i="21"/>
  <c r="D64" i="21" s="1"/>
  <c r="E88" i="10" l="1"/>
  <c r="M45" i="10" s="1"/>
  <c r="O29" i="34" s="1"/>
  <c r="G38" i="10"/>
  <c r="E10" i="34" l="1"/>
  <c r="E12" i="34" s="1"/>
  <c r="E18" i="19"/>
  <c r="P29" i="34"/>
  <c r="F10" i="34" s="1"/>
  <c r="F12" i="34" s="1"/>
  <c r="Q29" i="34"/>
  <c r="G10" i="34" s="1"/>
  <c r="G12" i="34" s="1"/>
  <c r="I13" i="19"/>
  <c r="K13" i="19" s="1"/>
  <c r="H13" i="19"/>
  <c r="J13" i="19" s="1"/>
  <c r="C48" i="9" l="1"/>
  <c r="G13" i="34"/>
  <c r="H13" i="34" s="1"/>
  <c r="C49" i="9"/>
  <c r="F13" i="34"/>
  <c r="H18" i="19"/>
  <c r="J18" i="19" s="1"/>
  <c r="I18" i="19"/>
  <c r="K18" i="19" s="1"/>
  <c r="K7" i="19"/>
  <c r="J15" i="19"/>
  <c r="J10" i="19"/>
  <c r="K6" i="19"/>
  <c r="K16" i="19"/>
  <c r="K10" i="19"/>
  <c r="J16" i="19"/>
  <c r="J6" i="19"/>
  <c r="K19" i="19"/>
  <c r="K9" i="19"/>
  <c r="K15" i="19"/>
  <c r="K12" i="19"/>
  <c r="K11" i="19"/>
  <c r="J9" i="19"/>
  <c r="J7" i="19"/>
  <c r="J19" i="19"/>
  <c r="K8" i="19"/>
  <c r="J14" i="19"/>
  <c r="J8" i="19"/>
  <c r="J11" i="19"/>
  <c r="K14" i="19"/>
  <c r="J12" i="19"/>
  <c r="J17" i="19"/>
  <c r="K17" i="19"/>
  <c r="M51" i="10"/>
  <c r="M72" i="10" l="1"/>
  <c r="C44" i="9" l="1"/>
  <c r="M14" i="19"/>
  <c r="M12" i="19"/>
  <c r="M11" i="19"/>
  <c r="L18" i="19"/>
  <c r="L16" i="19"/>
  <c r="L11" i="19"/>
  <c r="L8" i="19"/>
  <c r="M16" i="19"/>
  <c r="L14" i="19"/>
  <c r="L6" i="19"/>
  <c r="M10" i="19"/>
  <c r="L12" i="19"/>
  <c r="L7" i="19"/>
  <c r="M19" i="19"/>
  <c r="M17" i="19"/>
  <c r="L10" i="19"/>
  <c r="M6" i="19"/>
  <c r="L19" i="19"/>
  <c r="M13" i="19"/>
  <c r="L17" i="19"/>
  <c r="M8" i="19"/>
  <c r="L15" i="19"/>
  <c r="M9" i="19"/>
  <c r="L13" i="19"/>
  <c r="L9" i="19"/>
  <c r="M18" i="19"/>
  <c r="M15" i="19"/>
  <c r="M7" i="19"/>
</calcChain>
</file>

<file path=xl/sharedStrings.xml><?xml version="1.0" encoding="utf-8"?>
<sst xmlns="http://schemas.openxmlformats.org/spreadsheetml/2006/main" count="1688" uniqueCount="629">
  <si>
    <t>Disclaimer for European Parliament Pilot Project – European Green Digital Coalition (EGDC) Case Studies</t>
  </si>
  <si>
    <t>The following disclaimer is intended to provide clarity and context for the case studies prepared as part of the Phase 2 - EGDC Moves to Action, which have showcased the net carbon impact of specific digital solutions using the EGDC ICT Methodology developed during the project:</t>
  </si>
  <si>
    <t>1. Purpose of the Case Studies:</t>
  </si>
  <si>
    <t>The case studies served multiple purposes, including:</t>
  </si>
  <si>
    <r>
      <t>1. Development of the Methodology:</t>
    </r>
    <r>
      <rPr>
        <sz val="10"/>
        <color theme="1"/>
        <rFont val="Lora"/>
      </rPr>
      <t xml:space="preserve"> They contributed to the development of the EGDC ICT Methodology. These case studies were conducted concurrently with the methodology's creation and served as a valuable testing ground for its initial formulation.</t>
    </r>
  </si>
  <si>
    <r>
      <t>2. Application Examples:</t>
    </r>
    <r>
      <rPr>
        <sz val="10"/>
        <color theme="1"/>
        <rFont val="Lora"/>
      </rPr>
      <t xml:space="preserve"> They provided practical examples of how the methodology can be applied to real-life use cases. These case studies were essential in demonstrating the practicality and effectiveness of the methodology when applied to concrete situations.</t>
    </r>
  </si>
  <si>
    <r>
      <t>3. Identification of Improvement Areas:</t>
    </r>
    <r>
      <rPr>
        <sz val="10"/>
        <color theme="1"/>
        <rFont val="Lora"/>
      </rPr>
      <t xml:space="preserve"> By conducting these case studies, we aimed to highlight parts of the calculation in need of improvement. They shed light on the challenges and limitations inherent in using available data and indicated the necessary steps to move towards best practices in assessing net carbon impacts.</t>
    </r>
  </si>
  <si>
    <t>2. Data Quality as a Key Determinant:</t>
  </si>
  <si>
    <t>It is imperative to emphasize that data quality is a fundamental determinant of the quality and reliability of the case studies. The accuracy and completeness of the data used significantly influence the outcomes and findings of these case studies.</t>
  </si>
  <si>
    <t>It is essential to acknowledge that the data available for each case study may differ in terms of accuracy, granularity, and coverage. As a result, the case studies may not necessarily represent the best practice application of the EGDC ICT Methodology. Instead, they reflect the application of the methodology at various stages of data availability.</t>
  </si>
  <si>
    <t>3. Liability for Errors/Omissions:</t>
  </si>
  <si>
    <t>While reasonable steps have been taken to ensure that the information contained within the case studies is correct, the EGDC gives no warranty and makes no representation as to its accuracy. We accept no liability for any errors or omissions that may be present in the case studies, methodology, or related information. Users and readers are advised to exercise their judgment and seek further clarification if needed, as the information provided may evolve over time and depend on external factors beyond our control.</t>
  </si>
  <si>
    <t>4. Appropriate Use of the Case Study Calculators:</t>
  </si>
  <si>
    <t>The case study calculators are intended for educational and informational purposes. They rely on certain assumptions and input data to generate results.</t>
  </si>
  <si>
    <t>The results of the calculators are specific to the implementation of the ICT solution and may not be representative for other implementation contexts.</t>
  </si>
  <si>
    <t>As such, it is imperative for users to refrain from directly extrapolating these results to ICT solutions or implementation contexts that may seem conceptually similar.</t>
  </si>
  <si>
    <t>Instead, users are advised to use the calculators as a means to understand the practical application of the EGDC ICT Methodology, thereby equipping themselves with the knowledge required to develop customized calculators specifically tailored to their unique ICT solutions and implementation circumstances.</t>
  </si>
  <si>
    <t>In conclusion, these case studies provide valuable insights into the calculation of the net carbon impact of digital solutions through the practical application of the EGDC ICT Methodology. However, it is vital to exercise caution when interpreting the results, considering the variances in data quality and the evolving nature of the methodology. The findings are indicative of the methodology's potential and its room for refinement as we work towards more accurate and comprehensive assessments of net carbon impacts.</t>
  </si>
  <si>
    <t>Overview</t>
  </si>
  <si>
    <t>Scenarios</t>
  </si>
  <si>
    <t>Reference Scenario(s)</t>
  </si>
  <si>
    <t>Solution Scenario(s)</t>
  </si>
  <si>
    <t>Functional Unit</t>
  </si>
  <si>
    <t xml:space="preserve">Carbon emissions per kg produced and carbon emissions per hectare. </t>
  </si>
  <si>
    <t>Context</t>
  </si>
  <si>
    <t>Implementation Context</t>
  </si>
  <si>
    <t>Crop Type</t>
  </si>
  <si>
    <t>Olives - Koroneiki</t>
  </si>
  <si>
    <t>in relation to the functional unit</t>
  </si>
  <si>
    <t>Geography</t>
  </si>
  <si>
    <t>Crete, Greece</t>
  </si>
  <si>
    <t>9 months</t>
  </si>
  <si>
    <t>Time Period (years)</t>
  </si>
  <si>
    <t>2022, 2024</t>
  </si>
  <si>
    <t>Required Inputs</t>
  </si>
  <si>
    <t>Field size (ha)</t>
  </si>
  <si>
    <t>Inputs</t>
  </si>
  <si>
    <t>Optional Adjustments</t>
  </si>
  <si>
    <t>Defaults Solution Scenario</t>
  </si>
  <si>
    <t>Manual Override (add value)</t>
  </si>
  <si>
    <t>Yield (kg)</t>
  </si>
  <si>
    <t>Water (m3/ha)</t>
  </si>
  <si>
    <t>Fuel use petrol (litres/ha)</t>
  </si>
  <si>
    <t>Fuel use diesel (litres/ha)</t>
  </si>
  <si>
    <t>Electricity use (kWh/ha)</t>
  </si>
  <si>
    <t>Nutri Leaf Fertiliser (kg/ha)</t>
  </si>
  <si>
    <t>Ammonium Sulfate Fertiliser  (kg/ha)</t>
  </si>
  <si>
    <t>Super Organ Fertiliser (kg/ha)</t>
  </si>
  <si>
    <t>Insecticide (kg/ha)</t>
  </si>
  <si>
    <t>Fungicide (kg/ha)</t>
  </si>
  <si>
    <t>Residue (kg/ha)</t>
  </si>
  <si>
    <t>kgCO2e</t>
  </si>
  <si>
    <t>kgCO2e/ha</t>
  </si>
  <si>
    <t>Uncertainty Analysis Results</t>
  </si>
  <si>
    <t>Total net carbon impact (lower range)</t>
  </si>
  <si>
    <t>Calculation</t>
  </si>
  <si>
    <t xml:space="preserve">All data is per crop lifecycle </t>
  </si>
  <si>
    <t>Explanation/Notes</t>
  </si>
  <si>
    <t>Unit</t>
  </si>
  <si>
    <t>Hectares</t>
  </si>
  <si>
    <t>Reference Scenario (2022)</t>
  </si>
  <si>
    <t>Olive Grove</t>
  </si>
  <si>
    <t>ha</t>
  </si>
  <si>
    <t>Calculation Step</t>
  </si>
  <si>
    <t>Formula (Written Out)</t>
  </si>
  <si>
    <t>Value</t>
  </si>
  <si>
    <t>Fertiliser YaraMila ELIOS direct emissions</t>
  </si>
  <si>
    <t>Nitrogen quantity in Fertiliser * N20 to CO2e conversion factor*Nitrogen volatilisation and redeposition</t>
  </si>
  <si>
    <t>Fertiliser YaraMila ELIOS indirect emissions</t>
  </si>
  <si>
    <t>(Nitrogen quantity in fertiliser*Indirect emissions volatilisation)+ (nitrogen quantity*indirect emissions leaching))* N20 to CO2e conversion factor</t>
  </si>
  <si>
    <t>Yield</t>
  </si>
  <si>
    <t>kg</t>
  </si>
  <si>
    <t>Embodied emissions YaraMila Elios</t>
  </si>
  <si>
    <t>Fertiliser quantity * emission factor</t>
  </si>
  <si>
    <t>Fuel use (petrol)</t>
  </si>
  <si>
    <t>l/ha</t>
  </si>
  <si>
    <t>Nutri Leaf direct emissions (Nitrogen)</t>
  </si>
  <si>
    <t>Fuel use (diesel)</t>
  </si>
  <si>
    <t>Nutri Leaf indirect emissions (Nitrogen)</t>
  </si>
  <si>
    <t>(Nitrogen quantity*Indirect emissions volatilisation)+ (nitrogen quantity*indirect emissions leaching))*conversion factor</t>
  </si>
  <si>
    <t>Water Use</t>
  </si>
  <si>
    <t>m3/ha</t>
  </si>
  <si>
    <t>Embodied emissions Nutri Leaf</t>
  </si>
  <si>
    <t>Fertiliser YaraMila ELIOS (13-11-21) used</t>
  </si>
  <si>
    <t>kg/ha</t>
  </si>
  <si>
    <t>Ammonium Sulfate  direct emissions (Nitrogen)</t>
  </si>
  <si>
    <t>Nutri Leaf (20-20-20)</t>
  </si>
  <si>
    <t>Ammonium Sulfate indirect emissions (Nitrogen)</t>
  </si>
  <si>
    <t>Ammonium Sulfate (21-0-0)</t>
  </si>
  <si>
    <t>Embodied emissions Ammonium Sulfate</t>
  </si>
  <si>
    <t>Sheep manure (digested)</t>
  </si>
  <si>
    <t>Sheep manure</t>
  </si>
  <si>
    <t>Residues Incorporation</t>
  </si>
  <si>
    <t>Residue incorporation</t>
  </si>
  <si>
    <t>Fungicide (copper oxide Nordox 75wg)</t>
  </si>
  <si>
    <t>Fungicide copper oxide Nordox 75wg</t>
  </si>
  <si>
    <t>Fungicide quantity * active ingredient * emission factor</t>
  </si>
  <si>
    <t>Insecticide Selanox 2.5wg, lambda cyhalothrin</t>
  </si>
  <si>
    <t>Insecticide quantity * active ingredient * emission factor</t>
  </si>
  <si>
    <t xml:space="preserve">Fungicide (copper hydroxide Corona 30wg) </t>
  </si>
  <si>
    <t>Insecticide Success 0,24 CB, Spinosad</t>
  </si>
  <si>
    <t>Electricity Water use</t>
  </si>
  <si>
    <t>kWh</t>
  </si>
  <si>
    <t>Electricity for pumping water</t>
  </si>
  <si>
    <t>Electricity quantity * emission factor</t>
  </si>
  <si>
    <t>Fuel quantity * emission factor</t>
  </si>
  <si>
    <t>Data before solution</t>
  </si>
  <si>
    <t>Data after solution</t>
  </si>
  <si>
    <t>Water use</t>
  </si>
  <si>
    <t>Water quantity * emission factor</t>
  </si>
  <si>
    <t>Average yield</t>
  </si>
  <si>
    <t>Reference scenario emissions</t>
  </si>
  <si>
    <t>litres</t>
  </si>
  <si>
    <t>Total emissions per hectare</t>
  </si>
  <si>
    <t>Total emissions per kilogram</t>
  </si>
  <si>
    <t>kgCO2e/kg</t>
  </si>
  <si>
    <t>m3</t>
  </si>
  <si>
    <t>Fertiliser YaraMila ELIOS (13-11-21)</t>
  </si>
  <si>
    <t>This is replaced in the solution scenario by Super Organ</t>
  </si>
  <si>
    <t>Solution Scenario (2024)</t>
  </si>
  <si>
    <t>Super Organ 4.9 2.9 0.9</t>
  </si>
  <si>
    <t>This replaces YaraMila Elios</t>
  </si>
  <si>
    <t>No sheep manure used in solution scenario.</t>
  </si>
  <si>
    <t>Nutri Leaf embodied emissions</t>
  </si>
  <si>
    <t>Water</t>
  </si>
  <si>
    <t xml:space="preserve">No copper oxide Nordox used in solution scenario, can be related to ICT solution. </t>
  </si>
  <si>
    <t>Ammonium Sulfate direct emissions (Nitrogen)</t>
  </si>
  <si>
    <t>No Selanox used in solution, can be related in part due to use of ICT solution.</t>
  </si>
  <si>
    <t>Super Organ direct emissions (Nitrogen)</t>
  </si>
  <si>
    <t>Super Organ indirect emissions (Nitrogen)</t>
  </si>
  <si>
    <t>kg of product</t>
  </si>
  <si>
    <t>Quantity * emission factor</t>
  </si>
  <si>
    <t xml:space="preserve">Fungicide </t>
  </si>
  <si>
    <t>Hardware components</t>
  </si>
  <si>
    <t>Insecticide</t>
  </si>
  <si>
    <t>Lifecycle emissions</t>
  </si>
  <si>
    <t>Emission Factors</t>
  </si>
  <si>
    <t xml:space="preserve">First Order Effect -ICT Solution Scenario Emissions </t>
  </si>
  <si>
    <t>Solar Radiation Sensor</t>
  </si>
  <si>
    <t>Solar Radiation Sensor lifecycle emissions</t>
  </si>
  <si>
    <t>Air Temperature &amp; Humidity Sensor</t>
  </si>
  <si>
    <t>Air Temperature &amp; Humidity Sensor embodied emissions</t>
  </si>
  <si>
    <t>Leaf Wetness Sensor</t>
  </si>
  <si>
    <t>Leaf Wetness Sensor embodied emissions</t>
  </si>
  <si>
    <t>Soil Multi-sensor</t>
  </si>
  <si>
    <t>Soil Multi-sensor embodied emissions</t>
  </si>
  <si>
    <t>kgCO2e/m3</t>
  </si>
  <si>
    <t>Sum of first order effects</t>
  </si>
  <si>
    <t>Embodied emissions + use phase + end of life</t>
  </si>
  <si>
    <t>kgCO2e/l</t>
  </si>
  <si>
    <t>kgCO2e/kWh</t>
  </si>
  <si>
    <t>Second order effects - avoided emissions</t>
  </si>
  <si>
    <t>Net carbon impact (functional unit = kgCO2e / ha)</t>
  </si>
  <si>
    <t>Total second order effect</t>
  </si>
  <si>
    <t>Net carbon impact per crop type</t>
  </si>
  <si>
    <t>Total first order effects + Total second order effects</t>
  </si>
  <si>
    <t>Coefficients</t>
  </si>
  <si>
    <t>Scenario</t>
  </si>
  <si>
    <t>Fertiliser</t>
  </si>
  <si>
    <t>Net carbon impact (functional unit = kgCO2e/kg)</t>
  </si>
  <si>
    <t>Reference</t>
  </si>
  <si>
    <t>kgCO2e/kg product</t>
  </si>
  <si>
    <t>Solution</t>
  </si>
  <si>
    <t>kg of active ingredient</t>
  </si>
  <si>
    <t>Additional fertilisers</t>
  </si>
  <si>
    <t>Reference Emissions (kgCO2e)</t>
  </si>
  <si>
    <t>Solution Emissions (kgCO2e)</t>
  </si>
  <si>
    <t>Residue</t>
  </si>
  <si>
    <t>Fertiliser Coefficients</t>
  </si>
  <si>
    <t>IPCC Coefficient</t>
  </si>
  <si>
    <t>Coefficient</t>
  </si>
  <si>
    <t>Figure from AR6</t>
  </si>
  <si>
    <t>kg N2O-N (kg N)^(-1)</t>
  </si>
  <si>
    <t xml:space="preserve">Stochiometric Factor </t>
  </si>
  <si>
    <t>kg N₂O per kg N₂O‑N</t>
  </si>
  <si>
    <t>Indirect Emissions Coefficients</t>
  </si>
  <si>
    <t xml:space="preserve">These coefficients determine the indirect emissions deriving from leaching and volatilisation of Nitrogen within the ecosystem. </t>
  </si>
  <si>
    <t>Qualitative Assessment of Data Quality</t>
  </si>
  <si>
    <t>Quantitative assessment of data quality</t>
  </si>
  <si>
    <t>Impact of Uncertainty on Net Carbon Impact</t>
  </si>
  <si>
    <t>Data type</t>
  </si>
  <si>
    <t>Impact effect</t>
  </si>
  <si>
    <t>Description of effect</t>
  </si>
  <si>
    <t>Activity</t>
  </si>
  <si>
    <t xml:space="preserve">Time </t>
  </si>
  <si>
    <t xml:space="preserve">Reliability </t>
  </si>
  <si>
    <t>Completeness</t>
  </si>
  <si>
    <t>SD</t>
  </si>
  <si>
    <t>Input data</t>
  </si>
  <si>
    <t>Input data with SD (higher range)</t>
  </si>
  <si>
    <t>Input data with SD (lower range)</t>
  </si>
  <si>
    <t>Activity Data</t>
  </si>
  <si>
    <t xml:space="preserve">1st order </t>
  </si>
  <si>
    <t>Fair</t>
  </si>
  <si>
    <t>Very good</t>
  </si>
  <si>
    <t xml:space="preserve">Good </t>
  </si>
  <si>
    <t xml:space="preserve">2nd order </t>
  </si>
  <si>
    <t>Petrol</t>
  </si>
  <si>
    <t>Emission factors</t>
  </si>
  <si>
    <t>Data quality criteria and scoring</t>
  </si>
  <si>
    <t>Emissions (kgCO2e)</t>
  </si>
  <si>
    <t>Data Quality Criteria</t>
  </si>
  <si>
    <t>Very Good</t>
  </si>
  <si>
    <t>Good</t>
  </si>
  <si>
    <t>Poor</t>
  </si>
  <si>
    <t>Activity representativeness</t>
  </si>
  <si>
    <t>Specific activity type</t>
  </si>
  <si>
    <t>Same generic activity type</t>
  </si>
  <si>
    <t>Different generic activity type</t>
  </si>
  <si>
    <t>Proxy activity</t>
  </si>
  <si>
    <t>Temporal representativeness</t>
  </si>
  <si>
    <t>Covers entire relevant time period</t>
  </si>
  <si>
    <t>Sample of relevant time period for more than 50% of time period</t>
  </si>
  <si>
    <t>Sample of relevant time period for less than 50% of time period</t>
  </si>
  <si>
    <t>Not a relevant time period</t>
  </si>
  <si>
    <t>Geographical representativeness</t>
  </si>
  <si>
    <t>Covers all of the relevant geography</t>
  </si>
  <si>
    <t>Sample of relevant geography for more than 50% of geography</t>
  </si>
  <si>
    <t>Sample of relevant geography for less than 50% of geography</t>
  </si>
  <si>
    <t>Not a relevant geography</t>
  </si>
  <si>
    <t>Full dataset</t>
  </si>
  <si>
    <t>Significant sample / coverage</t>
  </si>
  <si>
    <t>Small sample / Incomplete coverage, use of reasonable/data backed assumptions to fill data gaps</t>
  </si>
  <si>
    <t>Small sample / Incomplete coverage / data gaps filled with assumptions not backed by data</t>
  </si>
  <si>
    <t>Reliability</t>
  </si>
  <si>
    <t>Primary measured data / Publicly available from an internationally renowned source</t>
  </si>
  <si>
    <t>Publicly available with transparent high-quality methods / Primary survey data with high-quality methods</t>
  </si>
  <si>
    <t>Secondary data and proxies that are justified by strong evidence/reliable sources</t>
  </si>
  <si>
    <t>Secondary data that is not publicly available / from a reliable source</t>
  </si>
  <si>
    <t>Source: EGDC ICT Methodology</t>
  </si>
  <si>
    <t>Total carbon savings enabled (tCO2e)</t>
  </si>
  <si>
    <t>Error values (tCO2e)</t>
  </si>
  <si>
    <t>Adapted from: Greenhouse Gas Protocol, Quantitative Inventory Uncertainty, https://ghgprotocol.org/sites/default/files/2022-12/Quantitative%20Uncertainty%20Guidance.pdf</t>
  </si>
  <si>
    <t>Sensitivity Analysis</t>
  </si>
  <si>
    <t>This analysis aims to show the impact of varying the inputs to the net imapct calculation in different implementation contexts.</t>
  </si>
  <si>
    <t>% variation of input (lower)</t>
  </si>
  <si>
    <t>% variation of input (higher)</t>
  </si>
  <si>
    <t>Net carbon impact (kgCO2e) - higher range</t>
  </si>
  <si>
    <t>Net carbon impact (kgCO2e) - lower range</t>
  </si>
  <si>
    <t>Percentage change to net carbon impact - higher range</t>
  </si>
  <si>
    <t>Percentage change to net carbon impact - lower range</t>
  </si>
  <si>
    <t>Description of change</t>
  </si>
  <si>
    <t>activity data</t>
  </si>
  <si>
    <t>emission factor</t>
  </si>
  <si>
    <t>KEY</t>
  </si>
  <si>
    <t>Data input</t>
  </si>
  <si>
    <t>Scenario Type</t>
  </si>
  <si>
    <t>Data</t>
  </si>
  <si>
    <t>Hectar</t>
  </si>
  <si>
    <t>Volume of fertiliser YaraMila ELIOS (13-11-21) used</t>
  </si>
  <si>
    <t>Volume of Nutri Leaf (20-20-20)</t>
  </si>
  <si>
    <t>Volume of Ammonium Sulfate (21-0-0)</t>
  </si>
  <si>
    <t>Volume of fungicide (copper oxide Nordox 75wg)</t>
  </si>
  <si>
    <t>Volume of fungicide (copper hydroxide Corona 30wg)</t>
  </si>
  <si>
    <t>Volume of irrigation (m3 per ha)</t>
  </si>
  <si>
    <t>Fuel Consumption diesel</t>
  </si>
  <si>
    <t>Fuel Consumption petrol</t>
  </si>
  <si>
    <t>Irrigation electricity</t>
  </si>
  <si>
    <t>kwh</t>
  </si>
  <si>
    <t>Volume of fertiliser YaraMila ELIOS (13-11-21)</t>
  </si>
  <si>
    <t>YaraMila ELIOS (13-11-21)</t>
  </si>
  <si>
    <t>kg of Nitrogen</t>
  </si>
  <si>
    <t xml:space="preserve">Volume of fungicide (copper oxide Nordox 75wg) </t>
  </si>
  <si>
    <t xml:space="preserve">Volume of fungicide (copper hydroxide Corona 30wg) </t>
  </si>
  <si>
    <t>Fungicide (copper hydroxide Corona 30wg)</t>
  </si>
  <si>
    <t>l</t>
  </si>
  <si>
    <t>Volume of SuperOrgan (4.9-2.9-0.9)</t>
  </si>
  <si>
    <t>SuperOrgan (4.9-2.9-0.9)</t>
  </si>
  <si>
    <t xml:space="preserve">Volume of irrigation </t>
  </si>
  <si>
    <t>Plant Protective Agent</t>
  </si>
  <si>
    <t>Active Ingredient</t>
  </si>
  <si>
    <t>Copper oxide Nordox 75wg</t>
  </si>
  <si>
    <t>Selanox 2.5wg, lambda cyhalothrin</t>
  </si>
  <si>
    <t>Copper hydroxide Corona 30wg</t>
  </si>
  <si>
    <t>Success 0,24 CB, Spinosad</t>
  </si>
  <si>
    <t>N</t>
  </si>
  <si>
    <t>P</t>
  </si>
  <si>
    <t>K</t>
  </si>
  <si>
    <t>Ammonium Sulfate</t>
  </si>
  <si>
    <t>SuperOrgan</t>
  </si>
  <si>
    <t>NutriLeaf</t>
  </si>
  <si>
    <t>Conversion Factors</t>
  </si>
  <si>
    <t>FracGASM [Volatilisation from all organic N fertilisers applied, and dung and urine deposited by grazing animals], (kg NH3-N + NOx-N) (kg N applied or deposited)^-1</t>
  </si>
  <si>
    <t>Leaching/Runoff</t>
  </si>
  <si>
    <r>
      <t>Frac</t>
    </r>
    <r>
      <rPr>
        <sz val="8"/>
        <rFont val="Lora"/>
      </rPr>
      <t>LEACH-(H)</t>
    </r>
    <r>
      <rPr>
        <sz val="11"/>
        <rFont val="Lora"/>
      </rPr>
      <t xml:space="preserve"> [N losses by leaching/runoff in wet climates], kg N (kg N additions or deposition by grazing animals)^</t>
    </r>
    <r>
      <rPr>
        <sz val="8"/>
        <rFont val="Lora"/>
      </rPr>
      <t>-1</t>
    </r>
  </si>
  <si>
    <r>
      <t>EF</t>
    </r>
    <r>
      <rPr>
        <sz val="8"/>
        <rFont val="Lora"/>
      </rPr>
      <t>5</t>
    </r>
    <r>
      <rPr>
        <sz val="11"/>
        <rFont val="Lora"/>
      </rPr>
      <t xml:space="preserve"> [leaching/runoff], kg N</t>
    </r>
    <r>
      <rPr>
        <sz val="8"/>
        <rFont val="Lora"/>
      </rPr>
      <t>2</t>
    </r>
    <r>
      <rPr>
        <sz val="11"/>
        <rFont val="Lora"/>
      </rPr>
      <t>O-N (kg N leaching/runoff)^</t>
    </r>
    <r>
      <rPr>
        <sz val="8"/>
        <rFont val="Lora"/>
      </rPr>
      <t>-1</t>
    </r>
  </si>
  <si>
    <t>AR6</t>
  </si>
  <si>
    <t>Stoichiometric Factor N2O</t>
  </si>
  <si>
    <t>CHAPTER 11</t>
  </si>
  <si>
    <t>Based on IPCC Chapter 11</t>
  </si>
  <si>
    <t>Average Nitrogen Content (Indicative) in Digested Solid Waste</t>
  </si>
  <si>
    <t>Type of manure</t>
  </si>
  <si>
    <t>Total Solids (% w/w)</t>
  </si>
  <si>
    <t>Ammoniacal Nitrogen (kg/t)</t>
  </si>
  <si>
    <t>Organic Nitrogen (kg/t)</t>
  </si>
  <si>
    <t>Mineralization coefficient of Οrganic Νitrogen</t>
  </si>
  <si>
    <t>Ammoniacal Nitrogen (kg/ha)</t>
  </si>
  <si>
    <t>Organic Nitrogen (kg/ha)</t>
  </si>
  <si>
    <t>Applied Nitrogen Year 1 (kg)</t>
  </si>
  <si>
    <t>Sheep manure reference</t>
  </si>
  <si>
    <t>Source: Published in the Government Gazette of the Hellenic Republic (ΦΕΚ – "Φύλλο Εφημερίδας της Κυβερνήσεως"), Issue B, No. 4855, 2021 - ΑΝΝΕΧ ΙΙ / Table 12 (Page 30) - available only in Greek.
https://www.elinyae.gr/sites/default/files/2021-11/4855b_2021.pdf</t>
  </si>
  <si>
    <t>Based on IPCC equation 11.1</t>
  </si>
  <si>
    <t>Type of residue</t>
  </si>
  <si>
    <t>Dry Matter (kg/ha)</t>
  </si>
  <si>
    <t>N content of dry matter of residues (g/kg)</t>
  </si>
  <si>
    <t>Organic N mineralization  coefficient (%)</t>
  </si>
  <si>
    <t>Applied N Year 1 (kg)</t>
  </si>
  <si>
    <t>Residue reference</t>
  </si>
  <si>
    <t>Residue solution</t>
  </si>
  <si>
    <t>First order effects</t>
  </si>
  <si>
    <t xml:space="preserve">This tab demonstrates all the different components, data and calculations that are in relation to the first order effects. </t>
  </si>
  <si>
    <t>Source: gaiasense_components</t>
  </si>
  <si>
    <t>Total amount</t>
  </si>
  <si>
    <t>CT</t>
  </si>
  <si>
    <t>Component</t>
  </si>
  <si>
    <t>Quantity (per parcel)</t>
  </si>
  <si>
    <t>Weight / Size</t>
  </si>
  <si>
    <t>Material (approx.)</t>
  </si>
  <si>
    <t>Lifetime / Notes</t>
  </si>
  <si>
    <t>Number of sensors per 0.53 ha</t>
  </si>
  <si>
    <t>Average weight (kg)</t>
  </si>
  <si>
    <t>1</t>
  </si>
  <si>
    <t>35 kg (incl. mast)</t>
  </si>
  <si>
    <t>Metal mast, plastic housing, electronics</t>
  </si>
  <si>
    <t>Battery cycle: 3–5 years; cables/rain gauge may require replacement every ~2 years</t>
  </si>
  <si>
    <t>~0.15–0.30 kg</t>
  </si>
  <si>
    <t>Glass/plastic dome, electronics</t>
  </si>
  <si>
    <t>Standard lifetime &gt;5 years</t>
  </si>
  <si>
    <t>~0.20–0.30 kg</t>
  </si>
  <si>
    <t>ABS/plastic enclosure, electronics</t>
  </si>
  <si>
    <t>~0.10–0.20 kg</t>
  </si>
  <si>
    <t>Plastic/epoxy, electronics</t>
  </si>
  <si>
    <t>Standard lifetime ~2–3 years</t>
  </si>
  <si>
    <t>~0.25–0.35 kg</t>
  </si>
  <si>
    <t>Stainless steel probes, epoxy, plastic housing</t>
  </si>
  <si>
    <t>IoT Gateway (custom TCP 2G VPN)</t>
  </si>
  <si>
    <t>Included in station</t>
  </si>
  <si>
    <t>N/A</t>
  </si>
  <si>
    <t>Electronics in protective casing</t>
  </si>
  <si>
    <t>Operates via 2G VPN</t>
  </si>
  <si>
    <t>Excluded</t>
  </si>
  <si>
    <t>Electronics, integrated sensors</t>
  </si>
  <si>
    <t>Satellite Imagery (Earth Observation)</t>
  </si>
  <si>
    <t>Shared resource</t>
  </si>
  <si>
    <t>N/A (external providers, digital resource)</t>
  </si>
  <si>
    <t>NEUROPUBLIC service, high-res satellite data</t>
  </si>
  <si>
    <t>Cloud Processing &amp; Storage</t>
  </si>
  <si>
    <t>Database: 200 GB raw + 43 GB processed; Logs: ~100 MB/week</t>
  </si>
  <si>
    <t>Data storage &amp; servers, IT infrastructure</t>
  </si>
  <si>
    <t>Shared across ~432 stations; ~60,000 records/day</t>
  </si>
  <si>
    <t>Network Infrastructure for Data Transfer</t>
  </si>
  <si>
    <t>Reported traffic: ~130 kb/day per station</t>
  </si>
  <si>
    <t>2G network, VPN over TCP/IP</t>
  </si>
  <si>
    <t>Custom TCP 2G VPN</t>
  </si>
  <si>
    <t xml:space="preserve">First Order Effect - Solution Emissions </t>
  </si>
  <si>
    <t>Comment</t>
  </si>
  <si>
    <t>Per year of 4 year lifetime</t>
  </si>
  <si>
    <t>Solar Radiation Sensor embodied emissions</t>
  </si>
  <si>
    <t>Solar Radiation Sensor end of life emissions</t>
  </si>
  <si>
    <t>Per year of 5 year lifetime</t>
  </si>
  <si>
    <t>Air Temperature &amp; Humidity Sensor end of life emissions</t>
  </si>
  <si>
    <t>Air Temperature &amp; Humidity Sensor lifecycle emissions</t>
  </si>
  <si>
    <t>Leaf Wetness Sensor end of life emissions</t>
  </si>
  <si>
    <t>Leaf Wetness Sensor lifecycle emissions</t>
  </si>
  <si>
    <t>Per year of 2.5 year lifetime</t>
  </si>
  <si>
    <t>Soil Multi-sensor end of life emissions</t>
  </si>
  <si>
    <t>Soil Multi-sensor lifecycle emissions</t>
  </si>
  <si>
    <t>Battery</t>
  </si>
  <si>
    <t>Electricity</t>
  </si>
  <si>
    <t>Emissions are estimated on a lifecycle basis, including upstream supply chain and manufacturing stages, and cover all greenhouse gases (kg kWh)</t>
  </si>
  <si>
    <t>Source:https://ourworldindata.org/grapher/carbon-intensity-electricity?tab=table&amp;country=~GRC&amp;mapSelect=~GRC</t>
  </si>
  <si>
    <t>Classification</t>
  </si>
  <si>
    <t>Carbon emission factors (kg CO2e/kg)</t>
  </si>
  <si>
    <t>YaraMila Elios 13 11 21</t>
  </si>
  <si>
    <t xml:space="preserve">Nutri Leaf 20 20 20 </t>
  </si>
  <si>
    <t>Ammonium Sulfate21 00 00</t>
  </si>
  <si>
    <t xml:space="preserve">Residues </t>
  </si>
  <si>
    <t>Source: https://www.semanticscholar.org/paper/LCI-data-for-the-calculation-tool-Feedprint-for-gas-Marinussen-Kernebeek/367774ab3c17da2e86319aed0c934cd3a33f8117/
https://www.ipcc-nggip.iges.or.jp/public/2019rf/pdf/4_Volume4/19R_V4_Ch11_Soils_N2O_CO2.pdf</t>
  </si>
  <si>
    <t>Pesticides</t>
  </si>
  <si>
    <t xml:space="preserve">Source: https://pubmed.ncbi.nlm.nih.gov/15196846/  </t>
  </si>
  <si>
    <t>Carbon emission factors (kg CO2e/m3)</t>
  </si>
  <si>
    <t xml:space="preserve">Fuel </t>
  </si>
  <si>
    <t>Diesel</t>
  </si>
  <si>
    <t xml:space="preserve">Materials </t>
  </si>
  <si>
    <t>Electrical items - IT</t>
  </si>
  <si>
    <t>Electrical Items</t>
  </si>
  <si>
    <t>Electrical items - small</t>
  </si>
  <si>
    <t>Batteries - Li ion</t>
  </si>
  <si>
    <t>Plastics: average plastics</t>
  </si>
  <si>
    <t>Average Plastic</t>
  </si>
  <si>
    <t>Metals</t>
  </si>
  <si>
    <t>Average Metals</t>
  </si>
  <si>
    <t xml:space="preserve">End of Life </t>
  </si>
  <si>
    <t>WEEE - large, average landfill and recycling</t>
  </si>
  <si>
    <t>WEEE - mixed, average landfill and recycling</t>
  </si>
  <si>
    <t>WEEE - small, average landfill and recycling</t>
  </si>
  <si>
    <t>Plastics: average plastics, average landfill and recycling</t>
  </si>
  <si>
    <t>GWP₁₀₀ of N₂O</t>
  </si>
  <si>
    <t>kgCO2e/kgN2O</t>
  </si>
  <si>
    <t xml:space="preserve">Stochiometric Conversion </t>
  </si>
  <si>
    <t>EF1 for N additions from mineral fertilisers, organic amendments and crop residues, and N mineralised from mineral soil as a result of loss of soil carbon [kg N2O-N (kg N)^(-1)]</t>
  </si>
  <si>
    <t>https://www.ipcc-nggip.iges.or.jp/public/2019rf/pdf/4_Volume4/19R_V4_Ch11_Soils_N2O_CO2.pdf</t>
  </si>
  <si>
    <t xml:space="preserve">Emission Factors for Uncertainty Analysis </t>
  </si>
  <si>
    <t>Emissions</t>
  </si>
  <si>
    <t>Emission factor</t>
  </si>
  <si>
    <r>
      <t xml:space="preserve">Data from </t>
    </r>
    <r>
      <rPr>
        <b/>
        <i/>
        <sz val="11"/>
        <color theme="1"/>
        <rFont val="Lora"/>
      </rPr>
      <t>before</t>
    </r>
    <r>
      <rPr>
        <i/>
        <sz val="11"/>
        <color theme="1"/>
        <rFont val="Lora"/>
      </rPr>
      <t xml:space="preserve"> the solution was implemented</t>
    </r>
  </si>
  <si>
    <t>Description of reference scenario:</t>
  </si>
  <si>
    <t xml:space="preserve">Data </t>
  </si>
  <si>
    <t>Source</t>
  </si>
  <si>
    <t>per/ha (kg)</t>
  </si>
  <si>
    <t xml:space="preserve">Comment </t>
  </si>
  <si>
    <t>Values used</t>
  </si>
  <si>
    <t>General</t>
  </si>
  <si>
    <t>Time period</t>
  </si>
  <si>
    <t xml:space="preserve">nine (9),  01/2022 - 10/2022 </t>
  </si>
  <si>
    <t>months</t>
  </si>
  <si>
    <t>Farmer's Journal</t>
  </si>
  <si>
    <t>Location (Country, District)</t>
  </si>
  <si>
    <t xml:space="preserve">Greece, Crete, Chania </t>
  </si>
  <si>
    <t xml:space="preserve">Olive </t>
  </si>
  <si>
    <t>Crop Yield</t>
  </si>
  <si>
    <t>tonne (t)</t>
  </si>
  <si>
    <t>Input/output ratio</t>
  </si>
  <si>
    <t>kg/tree</t>
  </si>
  <si>
    <t>kg/parcel</t>
  </si>
  <si>
    <t>Plant Protection Products</t>
  </si>
  <si>
    <t>Volume of fungicide (copper oxide Nordox 75wg) used</t>
  </si>
  <si>
    <t>Volume of instecticide (Selanox 2.5wg, lambda cyhalothrin) used</t>
  </si>
  <si>
    <t>Volume of fungicide (copper hydroxide Corona 30wg) used</t>
  </si>
  <si>
    <t>Volume of instecticide (Success 0,24 CB, Spinosad) used</t>
  </si>
  <si>
    <t>l/parcel</t>
  </si>
  <si>
    <t>Electricity used in irrigation</t>
  </si>
  <si>
    <t>Irrigation</t>
  </si>
  <si>
    <r>
      <t>Volume of irrigation (m</t>
    </r>
    <r>
      <rPr>
        <b/>
        <vertAlign val="superscript"/>
        <sz val="11"/>
        <color theme="1"/>
        <rFont val="Lora"/>
      </rPr>
      <t>3</t>
    </r>
    <r>
      <rPr>
        <b/>
        <sz val="11"/>
        <color theme="1"/>
        <rFont val="Lora"/>
      </rPr>
      <t xml:space="preserve"> per ha)</t>
    </r>
  </si>
  <si>
    <t>m3/parcel</t>
  </si>
  <si>
    <t>215 kWh</t>
  </si>
  <si>
    <t>201 kWh</t>
  </si>
  <si>
    <t>147 kWh</t>
  </si>
  <si>
    <t>188 kWh</t>
  </si>
  <si>
    <t>205 kWh</t>
  </si>
  <si>
    <t>101 kWh</t>
  </si>
  <si>
    <t>107 kWh</t>
  </si>
  <si>
    <t>Fuel Consumption</t>
  </si>
  <si>
    <t xml:space="preserve">Grass mulching (clearing saw) </t>
  </si>
  <si>
    <t>litre</t>
  </si>
  <si>
    <t>Branch chipping (wood chipper)</t>
  </si>
  <si>
    <t xml:space="preserve">Harvesting </t>
  </si>
  <si>
    <t>Transportation of harvested quantity</t>
  </si>
  <si>
    <t>Petrol (Gasoline)</t>
  </si>
  <si>
    <t>PPP Application</t>
  </si>
  <si>
    <t>Incorporation of crop residues</t>
  </si>
  <si>
    <t>Manure Application</t>
  </si>
  <si>
    <t>Field Visits</t>
  </si>
  <si>
    <t>Number of field visits</t>
  </si>
  <si>
    <t>Visit</t>
  </si>
  <si>
    <t>Petrol (Gasoline) /188.6 km total including return</t>
  </si>
  <si>
    <t xml:space="preserve">Data for emissions calculations - please provide emission factors used </t>
  </si>
  <si>
    <t>Equation</t>
  </si>
  <si>
    <t>Calculations</t>
  </si>
  <si>
    <t>Volume of fertiliser 13-11-21 used (kg per Ha)</t>
  </si>
  <si>
    <t>kg / Ha</t>
  </si>
  <si>
    <t>Total Volume Applied 292 kg</t>
  </si>
  <si>
    <r>
      <t>kg N</t>
    </r>
    <r>
      <rPr>
        <vertAlign val="subscript"/>
        <sz val="11"/>
        <color theme="1"/>
        <rFont val="Lora"/>
      </rPr>
      <t>2</t>
    </r>
    <r>
      <rPr>
        <sz val="11"/>
        <color theme="1"/>
        <rFont val="Lora"/>
      </rPr>
      <t>O / kg product used</t>
    </r>
  </si>
  <si>
    <t xml:space="preserve">https://www.ipcc-nggip.iges.or.jp/public/2019rf/pdf/4_Volume4/19R_V4_Ch11_Soils_N2O_CO2.pdf  </t>
  </si>
  <si>
    <r>
      <t>Considering 1% of N applied turn into N</t>
    </r>
    <r>
      <rPr>
        <vertAlign val="subscript"/>
        <sz val="11"/>
        <color theme="1"/>
        <rFont val="Lora"/>
      </rPr>
      <t>2</t>
    </r>
    <r>
      <rPr>
        <sz val="11"/>
        <color theme="1"/>
        <rFont val="Lora"/>
      </rPr>
      <t>O (Table 11.1)</t>
    </r>
  </si>
  <si>
    <r>
      <t>EF</t>
    </r>
    <r>
      <rPr>
        <i/>
        <vertAlign val="subscript"/>
        <sz val="11"/>
        <color theme="1"/>
        <rFont val="Lora"/>
      </rPr>
      <t>fert</t>
    </r>
    <r>
      <rPr>
        <i/>
        <sz val="11"/>
        <color theme="1"/>
        <rFont val="Lora"/>
      </rPr>
      <t xml:space="preserve"> = N</t>
    </r>
    <r>
      <rPr>
        <i/>
        <vertAlign val="subscript"/>
        <sz val="11"/>
        <color theme="1"/>
        <rFont val="Lora"/>
      </rPr>
      <t xml:space="preserve">appl x </t>
    </r>
    <r>
      <rPr>
        <i/>
        <sz val="11"/>
        <color theme="1"/>
        <rFont val="Lora"/>
      </rPr>
      <t>EF</t>
    </r>
    <r>
      <rPr>
        <i/>
        <vertAlign val="subscript"/>
        <sz val="11"/>
        <color theme="1"/>
        <rFont val="Lora"/>
      </rPr>
      <t>1</t>
    </r>
    <r>
      <rPr>
        <i/>
        <sz val="11"/>
        <color theme="1"/>
        <rFont val="Lora"/>
      </rPr>
      <t xml:space="preserve"> x SF</t>
    </r>
    <r>
      <rPr>
        <i/>
        <vertAlign val="subscript"/>
        <sz val="11"/>
        <color theme="1"/>
        <rFont val="Lora"/>
      </rPr>
      <t>N2O</t>
    </r>
    <r>
      <rPr>
        <i/>
        <sz val="11"/>
        <color theme="1"/>
        <rFont val="Lora"/>
      </rPr>
      <t xml:space="preserve"> / F</t>
    </r>
    <r>
      <rPr>
        <i/>
        <vertAlign val="subscript"/>
        <sz val="11"/>
        <color theme="1"/>
        <rFont val="Lora"/>
      </rPr>
      <t>appl</t>
    </r>
  </si>
  <si>
    <t>CO2 emissions for urea production  (per kg)</t>
  </si>
  <si>
    <r>
      <t>kg CO</t>
    </r>
    <r>
      <rPr>
        <vertAlign val="subscript"/>
        <sz val="11"/>
        <color theme="1"/>
        <rFont val="Lora"/>
      </rPr>
      <t xml:space="preserve">2eq </t>
    </r>
    <r>
      <rPr>
        <sz val="11"/>
        <color theme="1"/>
        <rFont val="Lora"/>
      </rPr>
      <t>/ kg product produced</t>
    </r>
  </si>
  <si>
    <t>https://www.yara.com/crop-nutrition/our-global-fertilizer-brands/yaramila/</t>
  </si>
  <si>
    <t xml:space="preserve">No Urea Used for the Manufacture </t>
  </si>
  <si>
    <r>
      <t>​EF</t>
    </r>
    <r>
      <rPr>
        <i/>
        <vertAlign val="subscript"/>
        <sz val="11"/>
        <color theme="1"/>
        <rFont val="Lora"/>
      </rPr>
      <t>urea(per/kg_fert)</t>
    </r>
    <r>
      <rPr>
        <i/>
        <sz val="11"/>
        <color theme="1"/>
        <rFont val="Lora"/>
      </rPr>
      <t xml:space="preserve"> ​= N</t>
    </r>
    <r>
      <rPr>
        <i/>
        <vertAlign val="subscript"/>
        <sz val="11"/>
        <color theme="1"/>
        <rFont val="Lora"/>
      </rPr>
      <t>content ×</t>
    </r>
    <r>
      <rPr>
        <i/>
        <sz val="11"/>
        <color theme="1"/>
        <rFont val="Lora"/>
      </rPr>
      <t xml:space="preserve"> f</t>
    </r>
    <r>
      <rPr>
        <i/>
        <vertAlign val="subscript"/>
        <sz val="11"/>
        <color theme="1"/>
        <rFont val="Lora"/>
      </rPr>
      <t>urea</t>
    </r>
    <r>
      <rPr>
        <i/>
        <sz val="11"/>
        <color theme="1"/>
        <rFont val="Lora"/>
      </rPr>
      <t>​ × 1/f</t>
    </r>
    <r>
      <rPr>
        <i/>
        <vertAlign val="subscript"/>
        <sz val="11"/>
        <color theme="1"/>
        <rFont val="Lora"/>
      </rPr>
      <t>ureaN</t>
    </r>
    <r>
      <rPr>
        <i/>
        <sz val="11"/>
        <color theme="1"/>
        <rFont val="Lora"/>
      </rPr>
      <t xml:space="preserve">  × EF</t>
    </r>
    <r>
      <rPr>
        <i/>
        <vertAlign val="subscript"/>
        <sz val="11"/>
        <color theme="1"/>
        <rFont val="Lora"/>
      </rPr>
      <t>src_urea</t>
    </r>
    <r>
      <rPr>
        <i/>
        <sz val="11"/>
        <color theme="1"/>
        <rFont val="Lora"/>
      </rPr>
      <t>​ × EF</t>
    </r>
    <r>
      <rPr>
        <i/>
        <vertAlign val="subscript"/>
        <sz val="11"/>
        <color theme="1"/>
        <rFont val="Lora"/>
      </rPr>
      <t>SM</t>
    </r>
  </si>
  <si>
    <r>
      <t>kg CO</t>
    </r>
    <r>
      <rPr>
        <vertAlign val="subscript"/>
        <sz val="11"/>
        <color theme="1"/>
        <rFont val="Lora"/>
      </rPr>
      <t xml:space="preserve">2eq </t>
    </r>
    <r>
      <rPr>
        <sz val="11"/>
        <color theme="1"/>
        <rFont val="Lora"/>
      </rPr>
      <t>/ kg product</t>
    </r>
  </si>
  <si>
    <t>https://www.semanticscholar.org/paper/LCI-data-for-the-calculation-tool-Feedprint-for-gas-Marinussen-Kernebeek/367774ab3c17da2e86319aed0c934cd3a33f8117/</t>
  </si>
  <si>
    <t>≈ 1.18 transportation/shipment included</t>
  </si>
  <si>
    <r>
      <t>EF</t>
    </r>
    <r>
      <rPr>
        <i/>
        <vertAlign val="subscript"/>
        <sz val="11"/>
        <color theme="1"/>
        <rFont val="Lora"/>
      </rPr>
      <t xml:space="preserve">manuf(per/kg) </t>
    </r>
    <r>
      <rPr>
        <i/>
        <sz val="11"/>
        <color theme="1"/>
        <rFont val="Lora"/>
      </rPr>
      <t>= E</t>
    </r>
    <r>
      <rPr>
        <i/>
        <vertAlign val="subscript"/>
        <sz val="11"/>
        <color theme="1"/>
        <rFont val="Lora"/>
      </rPr>
      <t xml:space="preserve">total </t>
    </r>
    <r>
      <rPr>
        <i/>
        <sz val="11"/>
        <color theme="1"/>
        <rFont val="Lora"/>
      </rPr>
      <t>× EF</t>
    </r>
    <r>
      <rPr>
        <i/>
        <vertAlign val="subscript"/>
        <sz val="11"/>
        <color theme="1"/>
        <rFont val="Lora"/>
      </rPr>
      <t>SM</t>
    </r>
    <r>
      <rPr>
        <i/>
        <sz val="11"/>
        <color theme="1"/>
        <rFont val="Lora"/>
      </rPr>
      <t xml:space="preserve"> / F</t>
    </r>
    <r>
      <rPr>
        <i/>
        <vertAlign val="subscript"/>
        <sz val="11"/>
        <color theme="1"/>
        <rFont val="Lora"/>
      </rPr>
      <t>appl</t>
    </r>
  </si>
  <si>
    <t>Volume of fertiliser 20-20-20 used (kg per Ha)</t>
  </si>
  <si>
    <t>Total Volume Applied 3.18 kg</t>
  </si>
  <si>
    <t>Considering 1% of N applied turn into N2O (Table 11.1)</t>
  </si>
  <si>
    <t>1. https://geoponikopontiki.gr/en/product/nutri-leaf-20-20-20/
2. https://www.semanticscholar.org/paper/LCI-data-for-the-calculation-tool-Feedprint-for-gas-Marinussen-Kernebeek/367774ab3c17da2e86319aed0c934cd3a33f8117/figure/4</t>
  </si>
  <si>
    <t xml:space="preserve">1. Nutri-Leaf
2. Marinussen et al. 2012 </t>
  </si>
  <si>
    <t>≈ 1.26 transportation/shipment included</t>
  </si>
  <si>
    <t>Volume of fertiliser 21-00-00 used (kg per Ha)</t>
  </si>
  <si>
    <t>Total Volume Applied 146 kg</t>
  </si>
  <si>
    <t>https://americanplantfood.com/product/n-rich-ammonium-sulfate/</t>
  </si>
  <si>
    <t>PPP 1</t>
  </si>
  <si>
    <t>Volume of fungicide Copper oxide Nordox 75wg used (type, kg per ha)</t>
  </si>
  <si>
    <t xml:space="preserve">Farmer's Journal </t>
  </si>
  <si>
    <t>Total Volume Applied 0.795 kg</t>
  </si>
  <si>
    <t>CO2 emissions from pesticide use (per kg)</t>
  </si>
  <si>
    <r>
      <t>kg CO</t>
    </r>
    <r>
      <rPr>
        <vertAlign val="subscript"/>
        <sz val="11"/>
        <color theme="1"/>
        <rFont val="Lora"/>
      </rPr>
      <t>2eq</t>
    </r>
    <r>
      <rPr>
        <sz val="11"/>
        <color theme="1"/>
        <rFont val="Lora"/>
      </rPr>
      <t xml:space="preserve"> / kg  product used</t>
    </r>
  </si>
  <si>
    <t>https://pubmed.ncbi.nlm.nih.gov/15196846/</t>
  </si>
  <si>
    <t>No GHG emissions occur due to pesticide use (fuels excluded - check fuels below)</t>
  </si>
  <si>
    <t>Embodied CO2 emissions from pesticide production (per kg)</t>
  </si>
  <si>
    <r>
      <t>kg CO</t>
    </r>
    <r>
      <rPr>
        <vertAlign val="subscript"/>
        <sz val="11"/>
        <color theme="1"/>
        <rFont val="Lora"/>
      </rPr>
      <t>2eq</t>
    </r>
    <r>
      <rPr>
        <sz val="11"/>
        <color theme="1"/>
        <rFont val="Lora"/>
      </rPr>
      <t xml:space="preserve"> / kg  product</t>
    </r>
  </si>
  <si>
    <t>Τhe fraction of emissions corresponding to transport and distribution is considered negligible</t>
  </si>
  <si>
    <r>
      <t>EF</t>
    </r>
    <r>
      <rPr>
        <i/>
        <vertAlign val="subscript"/>
        <sz val="11"/>
        <color theme="1"/>
        <rFont val="Lora"/>
      </rPr>
      <t>PPP(per kg)</t>
    </r>
    <r>
      <rPr>
        <i/>
        <sz val="11"/>
        <color theme="1"/>
        <rFont val="Lora"/>
      </rPr>
      <t xml:space="preserve"> = f</t>
    </r>
    <r>
      <rPr>
        <i/>
        <vertAlign val="subscript"/>
        <sz val="11"/>
        <color theme="1"/>
        <rFont val="Lora"/>
      </rPr>
      <t xml:space="preserve">as × </t>
    </r>
    <r>
      <rPr>
        <i/>
        <sz val="11"/>
        <color theme="1"/>
        <rFont val="Lora"/>
      </rPr>
      <t>EF</t>
    </r>
    <r>
      <rPr>
        <i/>
        <vertAlign val="subscript"/>
        <sz val="11"/>
        <color theme="1"/>
        <rFont val="Lora"/>
      </rPr>
      <t>AS</t>
    </r>
  </si>
  <si>
    <t>PPP 2</t>
  </si>
  <si>
    <t>Volume of insecticide Selanox 2.5wg, lambda cyhalothrin used (type, kg per ha)</t>
  </si>
  <si>
    <t>Total Volume Applied 0.1325 kg</t>
  </si>
  <si>
    <t>PPP 3</t>
  </si>
  <si>
    <t>Volume of fungicide Copper hydroxide Corona 30wg used (type, kg per ha)</t>
  </si>
  <si>
    <t>Total Volume Applied 1.06 kg</t>
  </si>
  <si>
    <t>PPP 4</t>
  </si>
  <si>
    <t>Volume of insecticide Success 0,24 CB, Spinosad used (type, kg per ha)</t>
  </si>
  <si>
    <t>l / Ha</t>
  </si>
  <si>
    <t>Total Volume Applied 1.06 l</t>
  </si>
  <si>
    <t>Irrigation / Energy Consumption</t>
  </si>
  <si>
    <t>Volume of irrigation (eg litres per ha)</t>
  </si>
  <si>
    <r>
      <t>m</t>
    </r>
    <r>
      <rPr>
        <vertAlign val="superscript"/>
        <sz val="11"/>
        <color theme="1"/>
        <rFont val="Lora"/>
      </rPr>
      <t>3</t>
    </r>
    <r>
      <rPr>
        <sz val="11"/>
        <color theme="1"/>
        <rFont val="Lora"/>
      </rPr>
      <t xml:space="preserve"> / Ha</t>
    </r>
  </si>
  <si>
    <r>
      <t>Total Volume Applied 974.47 m</t>
    </r>
    <r>
      <rPr>
        <vertAlign val="superscript"/>
        <sz val="11"/>
        <color theme="1"/>
        <rFont val="Lora"/>
      </rPr>
      <t>3</t>
    </r>
  </si>
  <si>
    <t>Electricity usage for irrigation</t>
  </si>
  <si>
    <t>kWh / parcel</t>
  </si>
  <si>
    <t xml:space="preserve">CO2 emissions from energy consumption </t>
  </si>
  <si>
    <r>
      <t>kg CO</t>
    </r>
    <r>
      <rPr>
        <vertAlign val="subscript"/>
        <sz val="11"/>
        <color theme="1"/>
        <rFont val="Lora"/>
      </rPr>
      <t>2eq</t>
    </r>
  </si>
  <si>
    <t>https://ypen.gov.gr/wp-content/uploads/2023/12/%CE%A3%CF%85%CE%BD%CF%84%CE%B5%CE%BB%CE%B5%CF%83%CF%84%CE%AD%CF%82-%CF%85%CF%80%CE%BF%CE%BB%CE%BF%CE%B3%CE%B9%CF%83%CE%BC%CE%BF%CF%8D-%CE%B3%CE%B9%CE%B1-%CF%84%CE%BF-%CE%AD%CF%84%CE%BF%CF%82-2022.pdf</t>
  </si>
  <si>
    <t>Hellenic Ministry of the Environment and Energy 2022 (Source Available only in Greek)</t>
  </si>
  <si>
    <t>Fuels</t>
  </si>
  <si>
    <t xml:space="preserve">25 litres consumed </t>
  </si>
  <si>
    <t>CO2 emissions from farm visits (Petrol)</t>
  </si>
  <si>
    <t>Petrol (Gasoline) Consumption / Ha (field)</t>
  </si>
  <si>
    <t>Litres / Ha</t>
  </si>
  <si>
    <t>65 litres consumed</t>
  </si>
  <si>
    <t>CO2 emissions from petrol in the field</t>
  </si>
  <si>
    <t>Diesel consumption / Ha (field)</t>
  </si>
  <si>
    <t>44.1 litres consumed</t>
  </si>
  <si>
    <t>CO2 emissions from diesel in the field</t>
  </si>
  <si>
    <t>Digital Solution Scenario Emissions</t>
  </si>
  <si>
    <t>Used in Calculator</t>
  </si>
  <si>
    <t xml:space="preserve">nine (9),  02/2024 - 11/2024 </t>
  </si>
  <si>
    <t>212 kWh</t>
  </si>
  <si>
    <t>200 kWh</t>
  </si>
  <si>
    <t>143 kWh</t>
  </si>
  <si>
    <t>202 kWh</t>
  </si>
  <si>
    <t>98 kWh</t>
  </si>
  <si>
    <t>126 kWh</t>
  </si>
  <si>
    <t>168 kWh</t>
  </si>
  <si>
    <t>224 kWh</t>
  </si>
  <si>
    <t>Shredder</t>
  </si>
  <si>
    <t>Petrol (Gasoline) /180.4 km total including return</t>
  </si>
  <si>
    <t>Volume of fertiliser 4.9-2.9-0.9 used (kg per Ha)</t>
  </si>
  <si>
    <t>https://geoponikopontiki.gr/en/product/super-organ-natural-organic-soil-improvement-25kg/</t>
  </si>
  <si>
    <t>≈ 0.33 transportation/shipment included</t>
  </si>
  <si>
    <t>Total Volume Applied 2.12 kg</t>
  </si>
  <si>
    <r>
      <t>Total Volume Applied 1115 m</t>
    </r>
    <r>
      <rPr>
        <vertAlign val="superscript"/>
        <sz val="11"/>
        <color theme="1"/>
        <rFont val="Lora"/>
      </rPr>
      <t>3</t>
    </r>
  </si>
  <si>
    <t>https://www.eea.europa.eu/en/analysis/maps-and-charts/co2-emission-intensity-15?activeTab=6fbd444d-c422-4a78-8492-fd496bd61b7a</t>
  </si>
  <si>
    <t>Hellenic Ministry of the Environment 2024 (Source Available only in Greek)</t>
  </si>
  <si>
    <t xml:space="preserve">24 litres consumed </t>
  </si>
  <si>
    <t>https://ypen.gov.gr/wp-content/uploads/2025/06/%CE%A3%CF%85%CE%BD%CF%84%CE%B5%CE%BB%CE%B5%CF%83%CF%84%CE%AD%CF%82-%CF%85%CF%80%CE%BF%CE%BB%CE%BF%CE%B3%CE%B9%CF%83%CE%BC%CE%BF%CF%8D-2024.pdf</t>
  </si>
  <si>
    <t>60 litres consumed</t>
  </si>
  <si>
    <t>Fungicide copper hydroxide Corona 30wg</t>
  </si>
  <si>
    <t>Solution scenario emissions</t>
  </si>
  <si>
    <t>Difference before and after solution</t>
  </si>
  <si>
    <t>Reference scenario emissions per kg product</t>
  </si>
  <si>
    <t>Reference scenario emissions per ha product</t>
  </si>
  <si>
    <t>Solution scenario emissions per ha product</t>
  </si>
  <si>
    <t>Solution scenario emissions per kg product</t>
  </si>
  <si>
    <t>Electricity, Fuel, Water emissions</t>
  </si>
  <si>
    <t>Fertiliser, Insecticide, Fungicide emissions</t>
  </si>
  <si>
    <t>Uncertainty Results</t>
  </si>
  <si>
    <t>Low and high range estimates based on activity and emission factor uncertainties</t>
  </si>
  <si>
    <t>Total lifecycle</t>
  </si>
  <si>
    <t>Total per kg product</t>
  </si>
  <si>
    <t>Net carbon impact of solution per kg of product</t>
  </si>
  <si>
    <t>Net carbon impact of solution per hectare</t>
  </si>
  <si>
    <t>kgCO2e / kg product</t>
  </si>
  <si>
    <t>Net carbon impact of solution for total kg of product</t>
  </si>
  <si>
    <t>Net carbon impact of solution for total field size</t>
  </si>
  <si>
    <t>tCO2e</t>
  </si>
  <si>
    <t>Total net carbon impact (higher range)</t>
  </si>
  <si>
    <t>Source: BEIS 2024</t>
  </si>
  <si>
    <t>Second order effect per cultivation cycle</t>
  </si>
  <si>
    <t>Second order effect per cultivation cycle (per ha)</t>
  </si>
  <si>
    <t>Second order effect per cultivation cycle (per kg)</t>
  </si>
  <si>
    <t>Indirect Emissions volatilisation (kg N2O/kgN)</t>
  </si>
  <si>
    <t>Indirect Emissions leaching  (kg N2O/kgN)</t>
  </si>
  <si>
    <t>Indirect Emissions leaching (kg N2O/kgN)</t>
  </si>
  <si>
    <t>Published in the Government Gazette of the Hellenic Republic (ΦΕΚ – "Φύλλο Εφημερίδας της Κυβερνήσεως"), Issue B, No. 4855, 2021 - ANNEX VII / Table 1 (Page 52) - available only in Greek.</t>
  </si>
  <si>
    <t>Fernandez-Escobar et al. 1999</t>
  </si>
  <si>
    <t>https://www.mdpi.com/2077-0472/14/11/1923</t>
  </si>
  <si>
    <t>Atmospheric Sensor</t>
  </si>
  <si>
    <t>Leaf Sensor</t>
  </si>
  <si>
    <t xml:space="preserve">Valve Regulated Lead Acid 
(VRLA) Battery </t>
  </si>
  <si>
    <t>Standard lifetime 3-5 years</t>
  </si>
  <si>
    <t>3.67 kg</t>
  </si>
  <si>
    <t>Grid Electricity - Greece electricity - 2024</t>
  </si>
  <si>
    <t>Insecticide (Selanox 2.5wg, lambda cyhalothrin)</t>
  </si>
  <si>
    <t xml:space="preserve">Insecticide (Success 0,24 CB, Spinosad) </t>
  </si>
  <si>
    <t>Ammonium Sulfate embodied emissions</t>
  </si>
  <si>
    <t>Super Organ embodied emissions</t>
  </si>
  <si>
    <t>Residues incorporation embodied emissions</t>
  </si>
  <si>
    <t>Volume of insecticide (Selanox 2.5wg, lambda cyhalothrin)</t>
  </si>
  <si>
    <t>Volume of insecticide (Success 0,24 CB, Spinosad)</t>
  </si>
  <si>
    <t>Insecticide (Success 0,24 CB, Spinosad)</t>
  </si>
  <si>
    <t xml:space="preserve">Volume of insecticide (Success 0,24 CB, Spinosad) </t>
  </si>
  <si>
    <t>Volatilisation</t>
  </si>
  <si>
    <r>
      <t>EF</t>
    </r>
    <r>
      <rPr>
        <sz val="8"/>
        <rFont val="Lora"/>
      </rPr>
      <t>4</t>
    </r>
    <r>
      <rPr>
        <sz val="11"/>
        <rFont val="Lora"/>
      </rPr>
      <t xml:space="preserve"> [N volatilisation and re-deposition], kg N</t>
    </r>
    <r>
      <rPr>
        <sz val="8"/>
        <rFont val="Lora"/>
      </rPr>
      <t>2</t>
    </r>
    <r>
      <rPr>
        <sz val="11"/>
        <rFont val="Lora"/>
      </rPr>
      <t>O-N (kg NH</t>
    </r>
    <r>
      <rPr>
        <sz val="8"/>
        <rFont val="Lora"/>
      </rPr>
      <t>3</t>
    </r>
    <r>
      <rPr>
        <sz val="11"/>
        <rFont val="Lora"/>
      </rPr>
      <t>-N + NO</t>
    </r>
    <r>
      <rPr>
        <sz val="8"/>
        <rFont val="Lora"/>
      </rPr>
      <t>x</t>
    </r>
    <r>
      <rPr>
        <sz val="11"/>
        <rFont val="Lora"/>
      </rPr>
      <t>-N volatilised)^</t>
    </r>
    <r>
      <rPr>
        <sz val="8"/>
        <rFont val="Lora"/>
      </rPr>
      <t>-1</t>
    </r>
  </si>
  <si>
    <t>Total soil direct emissions (CO2eq kg)</t>
  </si>
  <si>
    <r>
      <t>Total soil direct emissions (CO</t>
    </r>
    <r>
      <rPr>
        <b/>
        <vertAlign val="subscript"/>
        <sz val="11"/>
        <color theme="0"/>
        <rFont val="Roboto"/>
        <scheme val="minor"/>
      </rPr>
      <t>2eq</t>
    </r>
    <r>
      <rPr>
        <b/>
        <sz val="11"/>
        <color theme="0"/>
        <rFont val="Roboto"/>
        <scheme val="minor"/>
      </rPr>
      <t xml:space="preserve"> kg)</t>
    </r>
  </si>
  <si>
    <t>Split of Dry Matter content</t>
  </si>
  <si>
    <t>Time Period (cultivation cycle)</t>
  </si>
  <si>
    <t>tCO2e / cultivation cycle</t>
  </si>
  <si>
    <t>Emissions before the solution was implemented - Emissions after the solution was implemented</t>
  </si>
  <si>
    <t>Emissions related to before the solution was implemented - Emissions related to after the solution was implemented</t>
  </si>
  <si>
    <t>Agriculture practices follow conventional methods. Farmers rely on fixed schedules/ previous experience to determine irrigation, use of fertiliser or application of pesticides. Farm management relies on field visits.</t>
  </si>
  <si>
    <t>Direct N20 emissions from fertiliser</t>
  </si>
  <si>
    <t>Fertilisers Application</t>
  </si>
  <si>
    <t>Embodied CO2 emissions from fertiliser production (per kg)</t>
  </si>
  <si>
    <t>Fertiliser 3</t>
  </si>
  <si>
    <t>Fertiliser 2</t>
  </si>
  <si>
    <t>N20 emissions from fertiliser 20-20-20  use (per kg)</t>
  </si>
  <si>
    <t>N20 emissions from fertiliser 21-00-00  use (per kg)</t>
  </si>
  <si>
    <t xml:space="preserve">When farmers follow conventional methods, relying on fixed schedules, previous experience to determine irrigation, use of fertiliser or application of pesticides. </t>
  </si>
  <si>
    <t>Fertilisers</t>
  </si>
  <si>
    <t>Fertiliser 1</t>
  </si>
  <si>
    <t>N20 emissions from fertiliser 13-11-21  use (per kg)</t>
  </si>
  <si>
    <t>N20 emissions from fertiliser 4.9-2.9-0.9  use (per kg)</t>
  </si>
  <si>
    <t>gaiasense enables precise, data-driven agriculture by continuously monitoring soil moisture and environmental conditions, leading to significant reductions in fuel, electricity, water, and chemical use.</t>
  </si>
  <si>
    <t>gaiaTron Station (v3.1, incl. mast)</t>
  </si>
  <si>
    <t>gaiaTron Station (v3.1, incl. mast) lifecycle emissions</t>
  </si>
  <si>
    <t>Weather Monitoring System (integrated in gaiaTron)</t>
  </si>
  <si>
    <t>Integrated into gaiaTron</t>
  </si>
  <si>
    <t>gaiaTron Station (v3.1, incl. mast) embodied emissions</t>
  </si>
  <si>
    <t>gaiaTron Station (v3.1, incl. mast) battery emissions</t>
  </si>
  <si>
    <t>gaiaTron Station (v3.1, incl. mast) end of life emissions</t>
  </si>
  <si>
    <t>gaiaTron</t>
  </si>
  <si>
    <t>gaiasense is NEUROPUBLIC’s advanced smart farming system is designed to support farmers in making better decisions for crop cultivators through real-time data collection and analysis. It combines information from field-installed sensors, satellite images, meteorological models, and agronomic knowledge, providing users with accurate and location-specific advice on irrigation, fertilisation, and plant protection. 
This case study will focus specifically on the use of the digital equipment to transition from uniform, resource-heavy farming to smart, sustainable agriculture. This leads to reduced consumption of fuel, electricity, water, and chemical use</t>
  </si>
  <si>
    <t>Change Factors From NEUROPUBLIC</t>
  </si>
  <si>
    <t>NEUROPUBLIC assumption</t>
  </si>
  <si>
    <t>NEUROPUBLIC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</si>
</sst>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00"/>
    <numFmt numFmtId="166" formatCode="0.0%"/>
    <numFmt numFmtId="167" formatCode="0.0000"/>
    <numFmt numFmtId="168" formatCode="#,##0.00000"/>
    <numFmt numFmtId="169" formatCode="_-* #,##0.000_-;\-* #,##0.000_-;_-* &quot;-&quot;??_-;_-@_-"/>
    <numFmt numFmtId="170" formatCode="_-* #,##0.0000_-;\-* #,##0.0000_-;_-* &quot;-&quot;??_-;_-@_-"/>
    <numFmt numFmtId="171" formatCode="0.0000000000"/>
    <numFmt numFmtId="172" formatCode="\+0.00;\-0.00"/>
  </numFmts>
  <fonts count="61">
    <font>
      <sz val="11"/>
      <color theme="1"/>
      <name val="Roboto"/>
      <family val="2"/>
      <scheme val="minor"/>
    </font>
    <font>
      <b/>
      <sz val="11"/>
      <color theme="1"/>
      <name val="Roboto"/>
      <family val="2"/>
      <scheme val="minor"/>
    </font>
    <font>
      <sz val="16"/>
      <color theme="4"/>
      <name val="Crimson Pro"/>
    </font>
    <font>
      <sz val="18"/>
      <color theme="3"/>
      <name val="Crimson Pro"/>
    </font>
    <font>
      <b/>
      <sz val="12"/>
      <color theme="3"/>
      <name val="Roboto"/>
      <family val="2"/>
      <scheme val="minor"/>
    </font>
    <font>
      <b/>
      <sz val="11"/>
      <color theme="4"/>
      <name val="Roboto"/>
      <family val="2"/>
      <scheme val="minor"/>
    </font>
    <font>
      <sz val="10"/>
      <name val="Arial"/>
      <family val="2"/>
    </font>
    <font>
      <sz val="8"/>
      <name val="Roboto"/>
      <family val="2"/>
      <scheme val="minor"/>
    </font>
    <font>
      <sz val="11"/>
      <color theme="1"/>
      <name val="Roboto"/>
      <family val="2"/>
      <scheme val="minor"/>
    </font>
    <font>
      <sz val="11"/>
      <color theme="1"/>
      <name val="Roboto"/>
      <scheme val="minor"/>
    </font>
    <font>
      <b/>
      <sz val="11"/>
      <color theme="1"/>
      <name val="Lora"/>
    </font>
    <font>
      <sz val="11"/>
      <color theme="1"/>
      <name val="Lora"/>
    </font>
    <font>
      <b/>
      <sz val="11"/>
      <color theme="0"/>
      <name val="Lora"/>
    </font>
    <font>
      <b/>
      <sz val="14"/>
      <color theme="1"/>
      <name val="Lora"/>
    </font>
    <font>
      <sz val="11"/>
      <name val="Lora"/>
    </font>
    <font>
      <sz val="10"/>
      <color theme="1"/>
      <name val="Lora"/>
    </font>
    <font>
      <b/>
      <sz val="10"/>
      <color theme="1"/>
      <name val="Lora"/>
    </font>
    <font>
      <b/>
      <u/>
      <sz val="10"/>
      <color theme="1"/>
      <name val="Lora"/>
    </font>
    <font>
      <sz val="11"/>
      <color theme="1"/>
      <name val="Kigelia Arabic Light"/>
      <family val="2"/>
      <charset val="178"/>
    </font>
    <font>
      <b/>
      <sz val="11"/>
      <color theme="1"/>
      <name val="Kigelia Arabic Light"/>
      <family val="2"/>
      <charset val="178"/>
    </font>
    <font>
      <b/>
      <sz val="11"/>
      <color theme="4"/>
      <name val="Kigelia Arabic Light"/>
      <family val="2"/>
      <charset val="178"/>
    </font>
    <font>
      <b/>
      <u/>
      <sz val="11"/>
      <color theme="1"/>
      <name val="Lora"/>
    </font>
    <font>
      <u/>
      <sz val="11"/>
      <color theme="1"/>
      <name val="Lora"/>
    </font>
    <font>
      <i/>
      <sz val="11"/>
      <color theme="1"/>
      <name val="Lora"/>
    </font>
    <font>
      <sz val="11"/>
      <color theme="1"/>
      <name val="Kigelia Arabic Light"/>
      <family val="2"/>
    </font>
    <font>
      <i/>
      <sz val="12"/>
      <color theme="0"/>
      <name val="Aptos Narrow"/>
      <family val="2"/>
    </font>
    <font>
      <sz val="18"/>
      <color theme="3"/>
      <name val="Arial"/>
      <family val="2"/>
      <scheme val="major"/>
    </font>
    <font>
      <sz val="11"/>
      <color rgb="FF006100"/>
      <name val="Roboto"/>
      <family val="2"/>
      <scheme val="minor"/>
    </font>
    <font>
      <sz val="11"/>
      <color rgb="FF9C0006"/>
      <name val="Roboto"/>
      <family val="2"/>
      <scheme val="minor"/>
    </font>
    <font>
      <sz val="11"/>
      <color rgb="FF9C5700"/>
      <name val="Roboto"/>
      <family val="2"/>
      <scheme val="minor"/>
    </font>
    <font>
      <b/>
      <sz val="11"/>
      <color theme="0"/>
      <name val="Roboto"/>
      <family val="2"/>
      <scheme val="minor"/>
    </font>
    <font>
      <sz val="11"/>
      <color theme="0"/>
      <name val="Roboto"/>
      <family val="2"/>
      <scheme val="minor"/>
    </font>
    <font>
      <sz val="11"/>
      <color theme="1"/>
      <name val="Roboto"/>
    </font>
    <font>
      <u/>
      <sz val="11"/>
      <color theme="10"/>
      <name val="Roboto"/>
      <family val="2"/>
      <scheme val="minor"/>
    </font>
    <font>
      <sz val="10"/>
      <color theme="1"/>
      <name val="Arial"/>
      <family val="2"/>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sz val="11"/>
      <color theme="1"/>
      <name val="Arial"/>
      <family val="2"/>
    </font>
    <font>
      <b/>
      <sz val="10"/>
      <color theme="0"/>
      <name val="Arial"/>
      <family val="2"/>
    </font>
    <font>
      <b/>
      <sz val="12"/>
      <color theme="1"/>
      <name val="Lora"/>
    </font>
    <font>
      <b/>
      <u/>
      <sz val="11"/>
      <color theme="0"/>
      <name val="Lora"/>
    </font>
    <font>
      <b/>
      <sz val="11"/>
      <color theme="0"/>
      <name val="Roboto"/>
      <scheme val="minor"/>
    </font>
    <font>
      <b/>
      <sz val="11"/>
      <color rgb="FF000000"/>
      <name val="Lora"/>
    </font>
    <font>
      <sz val="11"/>
      <color rgb="FF000000"/>
      <name val="Roboto"/>
      <family val="2"/>
      <scheme val="minor"/>
    </font>
    <font>
      <sz val="11"/>
      <color rgb="FF000000"/>
      <name val="Lora"/>
    </font>
    <font>
      <b/>
      <sz val="11"/>
      <color rgb="FFFFFFFF"/>
      <name val="Lora"/>
    </font>
    <font>
      <sz val="8"/>
      <name val="Lora"/>
    </font>
    <font>
      <sz val="11"/>
      <color theme="0"/>
      <name val="Lora"/>
    </font>
    <font>
      <sz val="11"/>
      <color theme="1"/>
      <name val="Lara"/>
    </font>
    <font>
      <b/>
      <vertAlign val="subscript"/>
      <sz val="11"/>
      <color theme="0"/>
      <name val="Roboto"/>
      <scheme val="minor"/>
    </font>
    <font>
      <b/>
      <vertAlign val="superscript"/>
      <sz val="11"/>
      <color theme="1"/>
      <name val="Lora"/>
    </font>
    <font>
      <vertAlign val="subscript"/>
      <sz val="11"/>
      <color theme="1"/>
      <name val="Lora"/>
    </font>
    <font>
      <i/>
      <vertAlign val="subscript"/>
      <sz val="11"/>
      <color theme="1"/>
      <name val="Lora"/>
    </font>
    <font>
      <vertAlign val="superscript"/>
      <sz val="11"/>
      <color theme="1"/>
      <name val="Lora"/>
    </font>
    <font>
      <b/>
      <i/>
      <sz val="11"/>
      <color theme="1"/>
      <name val="Lora"/>
    </font>
    <font>
      <i/>
      <u/>
      <sz val="11"/>
      <color theme="1"/>
      <name val="Lora"/>
    </font>
    <font>
      <u/>
      <sz val="11"/>
      <color theme="10"/>
      <name val="Lora"/>
    </font>
    <font>
      <u/>
      <sz val="11"/>
      <color theme="0"/>
      <name val="Roboto"/>
      <family val="2"/>
      <scheme val="minor"/>
    </font>
    <font>
      <u/>
      <sz val="11"/>
      <color theme="0"/>
      <name val="Lora"/>
    </font>
  </fonts>
  <fills count="5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rgb="FFA6D9F7"/>
        <bgColor indexed="64"/>
      </patternFill>
    </fill>
    <fill>
      <patternFill patternType="solid">
        <fgColor rgb="FF366340"/>
        <bgColor indexed="64"/>
      </patternFill>
    </fill>
    <fill>
      <patternFill patternType="solid">
        <fgColor rgb="FFF5F17F"/>
        <bgColor indexed="64"/>
      </patternFill>
    </fill>
    <fill>
      <patternFill patternType="solid">
        <fgColor rgb="FFFFFF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theme="5" tint="0.79998168889431442"/>
        <bgColor indexed="64"/>
      </patternFill>
    </fill>
    <fill>
      <patternFill patternType="solid">
        <fgColor theme="7" tint="0.39997558519241921"/>
        <bgColor indexed="64"/>
      </patternFill>
    </fill>
    <fill>
      <patternFill patternType="solid">
        <fgColor rgb="FF000000"/>
        <bgColor rgb="FF000000"/>
      </patternFill>
    </fill>
    <fill>
      <patternFill patternType="solid">
        <fgColor rgb="FFFFFFFF"/>
        <bgColor rgb="FF000000"/>
      </patternFill>
    </fill>
    <fill>
      <patternFill patternType="solid">
        <fgColor theme="4" tint="0.79998168889431442"/>
        <bgColor indexed="64"/>
      </patternFill>
    </fill>
    <fill>
      <patternFill patternType="solid">
        <fgColor rgb="FFFFFF00"/>
        <bgColor rgb="FF000000"/>
      </patternFill>
    </fill>
    <fill>
      <patternFill patternType="solid">
        <fgColor rgb="FF00FF6C"/>
        <bgColor rgb="FF000000"/>
      </patternFill>
    </fill>
    <fill>
      <patternFill patternType="solid">
        <fgColor rgb="FFFFC000"/>
        <bgColor rgb="FF000000"/>
      </patternFill>
    </fill>
    <fill>
      <patternFill patternType="solid">
        <fgColor theme="8" tint="-9.9978637043366805E-2"/>
        <bgColor indexed="64"/>
      </patternFill>
    </fill>
    <fill>
      <patternFill patternType="solid">
        <fgColor theme="0" tint="-0.14999847407452621"/>
        <bgColor indexed="64"/>
      </patternFill>
    </fill>
    <fill>
      <patternFill patternType="solid">
        <fgColor rgb="FFCCFFE1"/>
        <bgColor indexed="64"/>
      </patternFill>
    </fill>
    <fill>
      <patternFill patternType="solid">
        <fgColor rgb="FFFFFF00"/>
        <bgColor indexed="64"/>
      </patternFill>
    </fill>
  </fills>
  <borders count="29">
    <border>
      <left/>
      <right/>
      <top/>
      <bottom/>
      <diagonal/>
    </border>
    <border>
      <left/>
      <right/>
      <top/>
      <bottom style="thick">
        <color theme="4" tint="0.499984740745262"/>
      </bottom>
      <diagonal/>
    </border>
    <border>
      <left/>
      <right/>
      <top/>
      <bottom style="thick">
        <color theme="7"/>
      </bottom>
      <diagonal/>
    </border>
    <border>
      <left/>
      <right/>
      <top style="double">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53D5F"/>
      </left>
      <right style="thin">
        <color rgb="FF053D5F"/>
      </right>
      <top style="thin">
        <color rgb="FF053D5F"/>
      </top>
      <bottom style="thin">
        <color rgb="FF053D5F"/>
      </bottom>
      <diagonal/>
    </border>
    <border>
      <left/>
      <right style="thin">
        <color indexed="64"/>
      </right>
      <top style="thin">
        <color indexed="64"/>
      </top>
      <bottom/>
      <diagonal/>
    </border>
    <border>
      <left style="thin">
        <color rgb="FF000000"/>
      </left>
      <right/>
      <top/>
      <bottom style="thin">
        <color rgb="FF000000"/>
      </bottom>
      <diagonal/>
    </border>
    <border>
      <left style="thin">
        <color rgb="FF053D5F"/>
      </left>
      <right style="thin">
        <color rgb="FF053D5F"/>
      </right>
      <top style="thin">
        <color rgb="FF053D5F"/>
      </top>
      <bottom/>
      <diagonal/>
    </border>
  </borders>
  <cellStyleXfs count="60">
    <xf numFmtId="0" fontId="0" fillId="0" borderId="0"/>
    <xf numFmtId="0" fontId="3" fillId="0" borderId="2" applyNumberFormat="0" applyFill="0" applyAlignment="0" applyProtection="0"/>
    <xf numFmtId="0" fontId="2" fillId="0" borderId="1" applyNumberFormat="0" applyFill="0" applyBorder="0" applyAlignment="0" applyProtection="0"/>
    <xf numFmtId="0" fontId="4" fillId="0" borderId="0" applyNumberFormat="0" applyFill="0" applyAlignment="0" applyProtection="0"/>
    <xf numFmtId="0" fontId="5" fillId="0" borderId="0" applyNumberFormat="0" applyFill="0" applyBorder="0" applyAlignment="0" applyProtection="0"/>
    <xf numFmtId="0" fontId="1" fillId="0" borderId="3" applyNumberFormat="0" applyFill="0" applyAlignment="0" applyProtection="0"/>
    <xf numFmtId="0" fontId="6" fillId="0" borderId="0"/>
    <xf numFmtId="9" fontId="8" fillId="0" borderId="0" applyFont="0" applyFill="0" applyBorder="0" applyAlignment="0" applyProtection="0"/>
    <xf numFmtId="43" fontId="8" fillId="0" borderId="0" applyFont="0" applyFill="0" applyBorder="0" applyAlignment="0" applyProtection="0"/>
    <xf numFmtId="0" fontId="26" fillId="0" borderId="0" applyNumberFormat="0" applyFill="0" applyBorder="0" applyAlignment="0" applyProtection="0"/>
    <xf numFmtId="0" fontId="27" fillId="9" borderId="0" applyNumberFormat="0" applyBorder="0" applyAlignment="0" applyProtection="0"/>
    <xf numFmtId="0" fontId="28" fillId="10" borderId="0" applyNumberFormat="0" applyBorder="0" applyAlignment="0" applyProtection="0"/>
    <xf numFmtId="0" fontId="29" fillId="11" borderId="0" applyNumberFormat="0" applyBorder="0" applyAlignment="0" applyProtection="0"/>
    <xf numFmtId="0" fontId="30" fillId="12" borderId="15" applyNumberFormat="0" applyAlignment="0" applyProtection="0"/>
    <xf numFmtId="0" fontId="31"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31"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31"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31"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31"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31"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43" fontId="8" fillId="0" borderId="0" applyFont="0" applyFill="0" applyBorder="0" applyAlignment="0" applyProtection="0"/>
    <xf numFmtId="0" fontId="33" fillId="0" borderId="0" applyNumberFormat="0" applyFill="0" applyBorder="0" applyAlignment="0" applyProtection="0"/>
    <xf numFmtId="0" fontId="34" fillId="0" borderId="0"/>
    <xf numFmtId="0" fontId="6" fillId="39" borderId="17" applyNumberFormat="0" applyAlignment="0" applyProtection="0"/>
    <xf numFmtId="0" fontId="36" fillId="40" borderId="18" applyNumberFormat="0" applyProtection="0">
      <alignment vertical="center"/>
    </xf>
    <xf numFmtId="43" fontId="34" fillId="0" borderId="0" applyFont="0" applyFill="0" applyBorder="0" applyAlignment="0" applyProtection="0"/>
    <xf numFmtId="43" fontId="34" fillId="0" borderId="0" applyFon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5" fillId="0" borderId="0" applyNumberFormat="0" applyFill="0" applyBorder="0" applyAlignment="0" applyProtection="0">
      <alignment vertical="top"/>
      <protection locked="0"/>
    </xf>
    <xf numFmtId="0" fontId="6" fillId="41" borderId="14" applyNumberFormat="0" applyBorder="0" applyAlignment="0" applyProtection="0"/>
    <xf numFmtId="0" fontId="6" fillId="42" borderId="0">
      <alignment vertical="center"/>
    </xf>
    <xf numFmtId="0" fontId="6" fillId="43" borderId="19" applyNumberFormat="0" applyAlignment="0" applyProtection="0"/>
    <xf numFmtId="0" fontId="39" fillId="0" borderId="0"/>
    <xf numFmtId="0" fontId="34" fillId="13" borderId="16" applyNumberFormat="0" applyFont="0" applyAlignment="0" applyProtection="0"/>
    <xf numFmtId="0" fontId="40" fillId="44" borderId="20" applyNumberFormat="0" applyAlignment="0" applyProtection="0"/>
    <xf numFmtId="9" fontId="39" fillId="0" borderId="0" applyFont="0" applyFill="0" applyBorder="0" applyAlignment="0" applyProtection="0"/>
    <xf numFmtId="0" fontId="6" fillId="45" borderId="21" applyNumberFormat="0" applyProtection="0">
      <alignment vertical="center"/>
    </xf>
    <xf numFmtId="0" fontId="40" fillId="38" borderId="0" applyNumberFormat="0" applyBorder="0" applyAlignment="0" applyProtection="0"/>
    <xf numFmtId="0" fontId="33" fillId="0" borderId="0" applyNumberForma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263">
    <xf numFmtId="0" fontId="0" fillId="0" borderId="0" xfId="0"/>
    <xf numFmtId="0" fontId="9" fillId="0" borderId="0" xfId="0" applyFont="1"/>
    <xf numFmtId="0" fontId="10" fillId="0" borderId="0" xfId="0" applyFont="1"/>
    <xf numFmtId="0" fontId="11" fillId="0" borderId="0" xfId="0" applyFont="1"/>
    <xf numFmtId="0" fontId="11" fillId="0" borderId="0" xfId="0" applyFont="1" applyAlignment="1">
      <alignment wrapText="1"/>
    </xf>
    <xf numFmtId="0" fontId="12" fillId="4" borderId="0" xfId="0" applyFont="1" applyFill="1" applyAlignment="1">
      <alignment horizontal="left"/>
    </xf>
    <xf numFmtId="0" fontId="12" fillId="4" borderId="0" xfId="0" applyFont="1" applyFill="1" applyAlignment="1">
      <alignment horizontal="left" wrapText="1"/>
    </xf>
    <xf numFmtId="0" fontId="11" fillId="0" borderId="4" xfId="0" applyFont="1" applyBorder="1" applyAlignment="1">
      <alignment vertical="center"/>
    </xf>
    <xf numFmtId="0" fontId="11" fillId="0" borderId="4" xfId="0" applyFont="1" applyBorder="1" applyProtection="1">
      <protection locked="0"/>
    </xf>
    <xf numFmtId="0" fontId="11" fillId="0" borderId="4" xfId="0" applyFont="1" applyBorder="1" applyAlignment="1">
      <alignment horizontal="center" vertical="center"/>
    </xf>
    <xf numFmtId="2" fontId="11" fillId="0" borderId="4" xfId="0" applyNumberFormat="1" applyFont="1" applyBorder="1" applyAlignment="1">
      <alignment horizontal="center" vertical="center"/>
    </xf>
    <xf numFmtId="4" fontId="11" fillId="0" borderId="4" xfId="0" applyNumberFormat="1" applyFont="1" applyBorder="1" applyAlignment="1">
      <alignment horizontal="center" vertical="center"/>
    </xf>
    <xf numFmtId="0" fontId="12" fillId="3" borderId="4" xfId="0" applyFont="1" applyFill="1" applyBorder="1" applyAlignment="1">
      <alignment horizontal="left" wrapText="1"/>
    </xf>
    <xf numFmtId="0" fontId="12" fillId="3" borderId="4" xfId="0" applyFont="1" applyFill="1" applyBorder="1" applyAlignment="1">
      <alignment horizontal="center" wrapText="1"/>
    </xf>
    <xf numFmtId="0" fontId="10" fillId="0" borderId="4" xfId="0" applyFont="1" applyBorder="1" applyAlignment="1">
      <alignment vertical="center" wrapText="1"/>
    </xf>
    <xf numFmtId="0" fontId="11" fillId="0" borderId="4" xfId="0" applyFont="1" applyBorder="1" applyAlignment="1">
      <alignment horizontal="center" vertical="center" wrapText="1"/>
    </xf>
    <xf numFmtId="0" fontId="11" fillId="0" borderId="0" xfId="0" applyFont="1" applyAlignment="1">
      <alignment horizontal="center" wrapText="1"/>
    </xf>
    <xf numFmtId="0" fontId="12" fillId="3" borderId="4" xfId="0" applyFont="1" applyFill="1" applyBorder="1" applyAlignment="1">
      <alignment horizontal="center"/>
    </xf>
    <xf numFmtId="0" fontId="10" fillId="0" borderId="4" xfId="0" applyFont="1" applyBorder="1" applyAlignment="1">
      <alignment vertical="center"/>
    </xf>
    <xf numFmtId="0" fontId="11" fillId="0" borderId="4" xfId="0" applyFont="1" applyBorder="1" applyAlignment="1">
      <alignment horizontal="center"/>
    </xf>
    <xf numFmtId="0" fontId="13" fillId="0" borderId="0" xfId="0" applyFont="1"/>
    <xf numFmtId="0" fontId="11" fillId="0" borderId="7" xfId="0" applyFont="1" applyBorder="1"/>
    <xf numFmtId="0" fontId="12" fillId="3" borderId="0" xfId="0" applyFont="1" applyFill="1" applyAlignment="1">
      <alignment horizontal="left"/>
    </xf>
    <xf numFmtId="0" fontId="11" fillId="0" borderId="4" xfId="0" applyFont="1" applyBorder="1"/>
    <xf numFmtId="2" fontId="11" fillId="0" borderId="4" xfId="0" applyNumberFormat="1" applyFont="1" applyBorder="1"/>
    <xf numFmtId="0" fontId="10" fillId="0" borderId="0" xfId="0" applyFont="1" applyAlignment="1">
      <alignment wrapText="1"/>
    </xf>
    <xf numFmtId="0" fontId="10"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horizontal="left" vertical="center" wrapText="1" indent="5"/>
    </xf>
    <xf numFmtId="0" fontId="17" fillId="0" borderId="0" xfId="0" applyFont="1" applyAlignment="1">
      <alignment vertical="center" wrapText="1"/>
    </xf>
    <xf numFmtId="0" fontId="11" fillId="0" borderId="0" xfId="0" applyFont="1" applyAlignment="1">
      <alignment vertical="center"/>
    </xf>
    <xf numFmtId="0" fontId="12" fillId="3" borderId="0" xfId="0" applyFont="1" applyFill="1" applyAlignment="1">
      <alignment horizontal="left" vertical="center" wrapText="1"/>
    </xf>
    <xf numFmtId="0" fontId="12" fillId="3" borderId="0" xfId="0" applyFont="1" applyFill="1" applyAlignment="1">
      <alignment horizontal="center" vertical="center" wrapText="1"/>
    </xf>
    <xf numFmtId="2" fontId="11" fillId="0" borderId="4" xfId="0" applyNumberFormat="1" applyFont="1" applyBorder="1" applyAlignment="1">
      <alignment horizontal="center"/>
    </xf>
    <xf numFmtId="43" fontId="11" fillId="0" borderId="4" xfId="0" applyNumberFormat="1" applyFont="1" applyBorder="1"/>
    <xf numFmtId="10" fontId="11" fillId="0" borderId="4" xfId="7" applyNumberFormat="1" applyFont="1" applyBorder="1"/>
    <xf numFmtId="166" fontId="11" fillId="0" borderId="4" xfId="7" applyNumberFormat="1" applyFont="1" applyBorder="1"/>
    <xf numFmtId="166" fontId="11" fillId="0" borderId="0" xfId="7" applyNumberFormat="1" applyFont="1"/>
    <xf numFmtId="0" fontId="19" fillId="0" borderId="0" xfId="0" applyFont="1"/>
    <xf numFmtId="0" fontId="18" fillId="0" borderId="0" xfId="0" applyFont="1"/>
    <xf numFmtId="0" fontId="18" fillId="0" borderId="6" xfId="0" applyFont="1" applyBorder="1"/>
    <xf numFmtId="0" fontId="20" fillId="0" borderId="0" xfId="4" applyFont="1"/>
    <xf numFmtId="0" fontId="18" fillId="0" borderId="4" xfId="0" applyFont="1" applyBorder="1" applyProtection="1">
      <protection locked="0"/>
    </xf>
    <xf numFmtId="9" fontId="18" fillId="0" borderId="4" xfId="7" applyFont="1" applyBorder="1" applyProtection="1">
      <protection locked="0"/>
    </xf>
    <xf numFmtId="0" fontId="22" fillId="0" borderId="0" xfId="0" applyFont="1"/>
    <xf numFmtId="0" fontId="23" fillId="0" borderId="0" xfId="0" applyFont="1"/>
    <xf numFmtId="0" fontId="11" fillId="0" borderId="0" xfId="0" applyFont="1" applyAlignment="1">
      <alignment horizontal="center"/>
    </xf>
    <xf numFmtId="164" fontId="11" fillId="0" borderId="4" xfId="0" applyNumberFormat="1" applyFont="1" applyBorder="1" applyAlignment="1">
      <alignment horizontal="center"/>
    </xf>
    <xf numFmtId="43" fontId="11" fillId="0" borderId="4" xfId="8" applyFont="1" applyBorder="1"/>
    <xf numFmtId="2" fontId="11" fillId="0" borderId="4" xfId="0" applyNumberFormat="1" applyFont="1" applyBorder="1" applyAlignment="1">
      <alignment horizontal="center" vertical="center" wrapText="1"/>
    </xf>
    <xf numFmtId="0" fontId="24" fillId="0" borderId="0" xfId="0" applyFont="1"/>
    <xf numFmtId="0" fontId="24" fillId="0" borderId="0" xfId="0" applyFont="1" applyProtection="1">
      <protection locked="0"/>
    </xf>
    <xf numFmtId="9" fontId="24" fillId="0" borderId="0" xfId="7" applyFont="1" applyBorder="1" applyProtection="1">
      <protection locked="0"/>
    </xf>
    <xf numFmtId="0" fontId="25" fillId="6" borderId="0" xfId="0" applyFont="1" applyFill="1"/>
    <xf numFmtId="0" fontId="11" fillId="5" borderId="0" xfId="0" applyFont="1" applyFill="1"/>
    <xf numFmtId="2" fontId="11" fillId="0" borderId="0" xfId="0" applyNumberFormat="1" applyFont="1"/>
    <xf numFmtId="2" fontId="14" fillId="0" borderId="0" xfId="0" applyNumberFormat="1" applyFont="1"/>
    <xf numFmtId="0" fontId="32" fillId="0" borderId="0" xfId="0" applyFont="1"/>
    <xf numFmtId="0" fontId="32" fillId="0" borderId="0" xfId="0" applyFont="1" applyAlignment="1">
      <alignment horizontal="center"/>
    </xf>
    <xf numFmtId="0" fontId="41" fillId="0" borderId="0" xfId="0" applyFont="1"/>
    <xf numFmtId="2" fontId="0" fillId="0" borderId="0" xfId="0" applyNumberFormat="1"/>
    <xf numFmtId="2" fontId="11" fillId="0" borderId="4" xfId="0" applyNumberFormat="1" applyFont="1" applyBorder="1" applyProtection="1">
      <protection locked="0"/>
    </xf>
    <xf numFmtId="0" fontId="44" fillId="0" borderId="0" xfId="0" applyFont="1" applyAlignment="1">
      <alignment vertical="center"/>
    </xf>
    <xf numFmtId="0" fontId="45" fillId="0" borderId="0" xfId="0" applyFont="1" applyAlignment="1">
      <alignment vertical="center"/>
    </xf>
    <xf numFmtId="0" fontId="46" fillId="0" borderId="0" xfId="0" applyFont="1" applyAlignment="1">
      <alignment vertical="center"/>
    </xf>
    <xf numFmtId="0" fontId="47" fillId="48" borderId="22" xfId="0" applyFont="1" applyFill="1" applyBorder="1" applyAlignment="1">
      <alignment horizontal="left" vertical="center"/>
    </xf>
    <xf numFmtId="0" fontId="46" fillId="49" borderId="4" xfId="0" applyFont="1" applyFill="1" applyBorder="1" applyAlignment="1">
      <alignment horizontal="left" vertical="center"/>
    </xf>
    <xf numFmtId="0" fontId="11" fillId="50" borderId="4" xfId="0" applyFont="1" applyFill="1" applyBorder="1"/>
    <xf numFmtId="43" fontId="11" fillId="0" borderId="4" xfId="59" applyFont="1" applyBorder="1"/>
    <xf numFmtId="43" fontId="11" fillId="0" borderId="4" xfId="59" applyFont="1" applyBorder="1" applyProtection="1">
      <protection locked="0"/>
    </xf>
    <xf numFmtId="0" fontId="46" fillId="0" borderId="4" xfId="0" applyFont="1" applyBorder="1" applyAlignment="1">
      <alignment horizontal="left" vertical="center" wrapText="1"/>
    </xf>
    <xf numFmtId="0" fontId="46" fillId="0" borderId="4" xfId="0" applyFont="1" applyBorder="1" applyAlignment="1">
      <alignment horizontal="left" vertical="center"/>
    </xf>
    <xf numFmtId="43" fontId="11" fillId="0" borderId="4" xfId="59" applyFont="1" applyBorder="1" applyAlignment="1">
      <alignment horizontal="center"/>
    </xf>
    <xf numFmtId="0" fontId="12" fillId="3" borderId="0" xfId="0" applyFont="1" applyFill="1"/>
    <xf numFmtId="0" fontId="14" fillId="0" borderId="4" xfId="0" applyFont="1" applyBorder="1" applyAlignment="1">
      <alignment horizontal="center" vertical="center" wrapText="1"/>
    </xf>
    <xf numFmtId="0" fontId="14" fillId="0" borderId="4" xfId="0" applyFont="1" applyBorder="1" applyAlignment="1">
      <alignment vertical="center" wrapText="1"/>
    </xf>
    <xf numFmtId="0" fontId="14" fillId="0" borderId="4" xfId="0" applyFont="1" applyBorder="1" applyAlignment="1">
      <alignment horizontal="left" vertical="center" wrapText="1"/>
    </xf>
    <xf numFmtId="0" fontId="49" fillId="3" borderId="4" xfId="0" applyFont="1" applyFill="1" applyBorder="1"/>
    <xf numFmtId="167" fontId="11" fillId="0" borderId="25" xfId="0" applyNumberFormat="1" applyFont="1" applyBorder="1" applyAlignment="1">
      <alignment horizontal="center" vertical="center"/>
    </xf>
    <xf numFmtId="0" fontId="12" fillId="3" borderId="6" xfId="0" applyFont="1" applyFill="1" applyBorder="1" applyAlignment="1">
      <alignment horizontal="center"/>
    </xf>
    <xf numFmtId="0" fontId="10" fillId="0" borderId="4" xfId="0" applyFont="1" applyBorder="1"/>
    <xf numFmtId="0" fontId="11" fillId="46" borderId="4" xfId="0" applyFont="1" applyFill="1" applyBorder="1"/>
    <xf numFmtId="9" fontId="11" fillId="46" borderId="4" xfId="7" applyFont="1" applyFill="1" applyBorder="1"/>
    <xf numFmtId="0" fontId="11" fillId="0" borderId="26" xfId="0" applyFont="1" applyBorder="1"/>
    <xf numFmtId="43" fontId="11" fillId="46" borderId="4" xfId="59" applyFont="1" applyFill="1" applyBorder="1"/>
    <xf numFmtId="43" fontId="11" fillId="50" borderId="4" xfId="59" applyFont="1" applyFill="1" applyBorder="1"/>
    <xf numFmtId="0" fontId="46" fillId="0" borderId="24" xfId="0" applyFont="1" applyBorder="1" applyAlignment="1">
      <alignment horizontal="left" vertical="center"/>
    </xf>
    <xf numFmtId="0" fontId="18" fillId="0" borderId="4" xfId="0" applyFont="1" applyBorder="1"/>
    <xf numFmtId="43" fontId="11" fillId="0" borderId="4" xfId="59" applyFont="1" applyBorder="1" applyAlignment="1">
      <alignment horizontal="center" vertical="center"/>
    </xf>
    <xf numFmtId="1" fontId="50" fillId="0" borderId="0" xfId="0" applyNumberFormat="1" applyFont="1" applyAlignment="1">
      <alignment horizontal="center" vertical="center"/>
    </xf>
    <xf numFmtId="2" fontId="14" fillId="0" borderId="4" xfId="0" applyNumberFormat="1" applyFont="1" applyBorder="1" applyAlignment="1">
      <alignment horizontal="center" vertical="center" wrapText="1"/>
    </xf>
    <xf numFmtId="0" fontId="0" fillId="2" borderId="0" xfId="0" applyFill="1"/>
    <xf numFmtId="0" fontId="43" fillId="3" borderId="4" xfId="0" applyFont="1" applyFill="1" applyBorder="1" applyAlignment="1">
      <alignment wrapText="1"/>
    </xf>
    <xf numFmtId="0" fontId="0" fillId="3" borderId="4" xfId="0" applyFill="1" applyBorder="1"/>
    <xf numFmtId="2" fontId="43" fillId="3" borderId="4" xfId="0" applyNumberFormat="1" applyFont="1" applyFill="1" applyBorder="1" applyAlignment="1">
      <alignment horizontal="center" vertical="center" wrapText="1"/>
    </xf>
    <xf numFmtId="0" fontId="11" fillId="0" borderId="12" xfId="0" applyFont="1" applyBorder="1"/>
    <xf numFmtId="0" fontId="46" fillId="0" borderId="23" xfId="0" applyFont="1" applyBorder="1" applyAlignment="1">
      <alignment horizontal="left" vertical="center"/>
    </xf>
    <xf numFmtId="43" fontId="11" fillId="0" borderId="12" xfId="59" applyFont="1" applyBorder="1"/>
    <xf numFmtId="0" fontId="11" fillId="0" borderId="5" xfId="0" applyFont="1" applyBorder="1"/>
    <xf numFmtId="0" fontId="46" fillId="0" borderId="27" xfId="0" applyFont="1" applyBorder="1" applyAlignment="1">
      <alignment horizontal="left" vertical="center"/>
    </xf>
    <xf numFmtId="43" fontId="11" fillId="0" borderId="5" xfId="59" applyFont="1" applyBorder="1"/>
    <xf numFmtId="0" fontId="11" fillId="0" borderId="12" xfId="0" applyFont="1" applyBorder="1" applyProtection="1">
      <protection locked="0"/>
    </xf>
    <xf numFmtId="43" fontId="46" fillId="0" borderId="4" xfId="59" applyFont="1" applyBorder="1" applyAlignment="1">
      <alignment horizontal="left" vertical="center"/>
    </xf>
    <xf numFmtId="0" fontId="11" fillId="0" borderId="0" xfId="0" applyFont="1" applyAlignment="1">
      <alignment horizontal="center" vertical="center"/>
    </xf>
    <xf numFmtId="2" fontId="11" fillId="0" borderId="0" xfId="0" applyNumberFormat="1" applyFont="1" applyAlignment="1">
      <alignment horizontal="center" vertical="center"/>
    </xf>
    <xf numFmtId="165" fontId="11" fillId="0" borderId="0" xfId="0" applyNumberFormat="1" applyFont="1" applyAlignment="1">
      <alignment horizontal="center" vertical="center"/>
    </xf>
    <xf numFmtId="0" fontId="11" fillId="0" borderId="10" xfId="0" applyFont="1" applyBorder="1" applyAlignment="1">
      <alignment horizontal="center" vertical="center"/>
    </xf>
    <xf numFmtId="0" fontId="12" fillId="47" borderId="0" xfId="0" applyFont="1" applyFill="1"/>
    <xf numFmtId="0" fontId="10" fillId="0" borderId="4" xfId="0" applyFont="1" applyBorder="1" applyAlignment="1">
      <alignment horizontal="center" vertical="top"/>
    </xf>
    <xf numFmtId="0" fontId="49" fillId="3" borderId="5" xfId="0" applyFont="1" applyFill="1" applyBorder="1"/>
    <xf numFmtId="2" fontId="11" fillId="46" borderId="4" xfId="7" applyNumberFormat="1" applyFont="1" applyFill="1" applyBorder="1"/>
    <xf numFmtId="2" fontId="11" fillId="50" borderId="4" xfId="0" applyNumberFormat="1" applyFont="1" applyFill="1" applyBorder="1"/>
    <xf numFmtId="0" fontId="10" fillId="0" borderId="4" xfId="0" applyFont="1" applyBorder="1" applyAlignment="1">
      <alignment wrapText="1"/>
    </xf>
    <xf numFmtId="0" fontId="11" fillId="0" borderId="4" xfId="0" applyFont="1" applyBorder="1" applyAlignment="1">
      <alignment horizontal="center" vertical="top"/>
    </xf>
    <xf numFmtId="0" fontId="11" fillId="0" borderId="4" xfId="0" applyFont="1" applyBorder="1" applyAlignment="1">
      <alignment horizontal="left" vertical="top"/>
    </xf>
    <xf numFmtId="0" fontId="11" fillId="0" borderId="4" xfId="4" applyFont="1" applyFill="1" applyBorder="1" applyAlignment="1">
      <alignment horizontal="center" vertical="top"/>
    </xf>
    <xf numFmtId="0" fontId="11" fillId="0" borderId="4" xfId="4" applyFont="1" applyFill="1" applyBorder="1" applyAlignment="1">
      <alignment horizontal="left" vertical="top"/>
    </xf>
    <xf numFmtId="0" fontId="10" fillId="0" borderId="4" xfId="0" applyFont="1" applyBorder="1" applyAlignment="1">
      <alignment horizontal="left" vertical="center" wrapText="1"/>
    </xf>
    <xf numFmtId="0" fontId="10" fillId="0" borderId="13" xfId="0" applyFont="1" applyBorder="1" applyAlignment="1">
      <alignment horizontal="center" vertical="top"/>
    </xf>
    <xf numFmtId="2" fontId="11" fillId="0" borderId="4" xfId="0" applyNumberFormat="1" applyFont="1" applyBorder="1" applyAlignment="1">
      <alignment horizontal="center" vertical="top"/>
    </xf>
    <xf numFmtId="0" fontId="11" fillId="0" borderId="0" xfId="0" applyFont="1" applyAlignment="1">
      <alignment horizontal="left" vertical="top"/>
    </xf>
    <xf numFmtId="0" fontId="10" fillId="0" borderId="0" xfId="4" applyFont="1" applyFill="1" applyBorder="1" applyAlignment="1">
      <alignment horizontal="left" vertical="top"/>
    </xf>
    <xf numFmtId="0" fontId="10" fillId="0" borderId="10" xfId="0" applyFont="1" applyBorder="1" applyAlignment="1">
      <alignment horizontal="center" vertical="top"/>
    </xf>
    <xf numFmtId="0" fontId="10" fillId="0" borderId="11" xfId="0" applyFont="1" applyBorder="1" applyAlignment="1">
      <alignment horizontal="center" vertical="top"/>
    </xf>
    <xf numFmtId="0" fontId="15" fillId="0" borderId="4" xfId="0" applyFont="1" applyBorder="1" applyAlignment="1">
      <alignment horizontal="center" vertical="center" wrapText="1"/>
    </xf>
    <xf numFmtId="0" fontId="11" fillId="0" borderId="4" xfId="4" applyFont="1" applyFill="1" applyBorder="1" applyAlignment="1">
      <alignment horizontal="center" vertical="center"/>
    </xf>
    <xf numFmtId="0" fontId="11" fillId="0" borderId="10"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22" fillId="0" borderId="4" xfId="39" applyFont="1" applyFill="1" applyBorder="1" applyAlignment="1">
      <alignment horizontal="center" vertical="center" wrapText="1"/>
    </xf>
    <xf numFmtId="0" fontId="23" fillId="0" borderId="4" xfId="4" applyFont="1" applyFill="1" applyBorder="1" applyAlignment="1">
      <alignment horizontal="center" vertical="center" wrapText="1"/>
    </xf>
    <xf numFmtId="0" fontId="22" fillId="0" borderId="4" xfId="39" applyFont="1" applyFill="1" applyBorder="1" applyAlignment="1">
      <alignment horizontal="left" vertical="center" wrapText="1"/>
    </xf>
    <xf numFmtId="168" fontId="15" fillId="0" borderId="4"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22" fillId="0" borderId="4" xfId="39" applyFont="1" applyFill="1" applyBorder="1" applyAlignment="1">
      <alignment horizontal="center" vertical="top" wrapText="1"/>
    </xf>
    <xf numFmtId="0" fontId="22" fillId="0" borderId="4" xfId="39" applyFont="1" applyFill="1" applyBorder="1" applyAlignment="1">
      <alignment horizontal="left" vertical="top" wrapText="1"/>
    </xf>
    <xf numFmtId="0" fontId="22" fillId="0" borderId="10" xfId="39" applyFont="1" applyFill="1" applyBorder="1" applyAlignment="1">
      <alignment horizontal="left" vertical="center" wrapText="1"/>
    </xf>
    <xf numFmtId="0" fontId="11" fillId="0" borderId="10" xfId="4" applyFont="1" applyFill="1" applyBorder="1" applyAlignment="1">
      <alignment horizontal="center" vertical="top" wrapText="1"/>
    </xf>
    <xf numFmtId="0" fontId="10" fillId="0" borderId="9" xfId="0" applyFont="1" applyBorder="1" applyAlignment="1">
      <alignment vertical="center" wrapText="1"/>
    </xf>
    <xf numFmtId="0" fontId="22" fillId="0" borderId="4" xfId="39" applyFont="1" applyFill="1" applyBorder="1" applyAlignment="1">
      <alignment horizontal="center" vertical="center"/>
    </xf>
    <xf numFmtId="0" fontId="23" fillId="0" borderId="4" xfId="0" applyFont="1" applyBorder="1" applyAlignment="1">
      <alignment horizontal="center" vertical="center"/>
    </xf>
    <xf numFmtId="0" fontId="10" fillId="0" borderId="0" xfId="0" applyFont="1" applyAlignment="1">
      <alignment vertical="top" wrapText="1"/>
    </xf>
    <xf numFmtId="0" fontId="23" fillId="0" borderId="0" xfId="0" applyFont="1" applyAlignment="1">
      <alignment wrapText="1"/>
    </xf>
    <xf numFmtId="0" fontId="10" fillId="0" borderId="0" xfId="0" applyFont="1" applyAlignment="1">
      <alignment horizontal="left" vertical="top"/>
    </xf>
    <xf numFmtId="164" fontId="15" fillId="0" borderId="4" xfId="0" applyNumberFormat="1" applyFont="1" applyBorder="1" applyAlignment="1">
      <alignment horizontal="center" vertical="center" wrapText="1"/>
    </xf>
    <xf numFmtId="0" fontId="10" fillId="0" borderId="4" xfId="4" applyFont="1" applyFill="1" applyBorder="1" applyAlignment="1">
      <alignment horizontal="center" vertical="top"/>
    </xf>
    <xf numFmtId="167" fontId="15" fillId="0" borderId="4" xfId="0" applyNumberFormat="1" applyFont="1" applyBorder="1" applyAlignment="1">
      <alignment horizontal="center" vertical="center" wrapText="1"/>
    </xf>
    <xf numFmtId="0" fontId="15" fillId="0" borderId="4" xfId="0" applyFont="1" applyBorder="1" applyAlignment="1">
      <alignment horizontal="center" vertical="top" wrapText="1"/>
    </xf>
    <xf numFmtId="43" fontId="11" fillId="2" borderId="28" xfId="59" applyFont="1" applyFill="1" applyBorder="1" applyAlignment="1">
      <alignment horizontal="center" vertical="center"/>
    </xf>
    <xf numFmtId="43" fontId="11" fillId="2" borderId="4" xfId="59" applyFont="1" applyFill="1" applyBorder="1" applyAlignment="1">
      <alignment horizontal="center" vertical="center"/>
    </xf>
    <xf numFmtId="43" fontId="11" fillId="0" borderId="0" xfId="0" applyNumberFormat="1" applyFont="1"/>
    <xf numFmtId="167" fontId="11" fillId="0" borderId="4" xfId="0" applyNumberFormat="1" applyFont="1" applyBorder="1" applyProtection="1">
      <protection locked="0"/>
    </xf>
    <xf numFmtId="170" fontId="11" fillId="0" borderId="12" xfId="59" applyNumberFormat="1" applyFont="1" applyBorder="1"/>
    <xf numFmtId="170" fontId="11" fillId="0" borderId="4" xfId="59" applyNumberFormat="1" applyFont="1" applyBorder="1"/>
    <xf numFmtId="164" fontId="11" fillId="0" borderId="0" xfId="0" applyNumberFormat="1" applyFont="1" applyAlignment="1">
      <alignment horizontal="center"/>
    </xf>
    <xf numFmtId="0" fontId="57" fillId="0" borderId="0" xfId="0" applyFont="1"/>
    <xf numFmtId="167" fontId="11" fillId="0" borderId="4" xfId="0" applyNumberFormat="1" applyFont="1" applyBorder="1"/>
    <xf numFmtId="0" fontId="11" fillId="0" borderId="4" xfId="0" applyFont="1" applyBorder="1" applyAlignment="1">
      <alignment horizontal="left" vertical="center" wrapText="1"/>
    </xf>
    <xf numFmtId="0" fontId="49" fillId="3" borderId="0" xfId="0" applyFont="1" applyFill="1"/>
    <xf numFmtId="0" fontId="11" fillId="0" borderId="4" xfId="0" applyFont="1" applyBorder="1" applyAlignment="1">
      <alignment wrapText="1"/>
    </xf>
    <xf numFmtId="0" fontId="12" fillId="3" borderId="4" xfId="0" applyFont="1" applyFill="1" applyBorder="1" applyAlignment="1">
      <alignment wrapText="1"/>
    </xf>
    <xf numFmtId="0" fontId="11" fillId="3" borderId="4" xfId="0" applyFont="1" applyFill="1" applyBorder="1"/>
    <xf numFmtId="0" fontId="11" fillId="2" borderId="0" xfId="0" applyFont="1" applyFill="1"/>
    <xf numFmtId="0" fontId="12" fillId="3" borderId="4" xfId="0" applyFont="1" applyFill="1" applyBorder="1" applyAlignment="1">
      <alignment horizontal="center" vertical="center"/>
    </xf>
    <xf numFmtId="0" fontId="12" fillId="3" borderId="4" xfId="0" applyFont="1" applyFill="1" applyBorder="1" applyAlignment="1">
      <alignment horizontal="center" vertical="center" wrapText="1"/>
    </xf>
    <xf numFmtId="0" fontId="58" fillId="0" borderId="4" xfId="39" applyFont="1" applyFill="1" applyBorder="1" applyAlignment="1">
      <alignment horizontal="center" vertical="center" wrapText="1"/>
    </xf>
    <xf numFmtId="0" fontId="58" fillId="0" borderId="4" xfId="39" applyFont="1" applyFill="1" applyBorder="1" applyAlignment="1">
      <alignment horizontal="center" vertical="center"/>
    </xf>
    <xf numFmtId="0" fontId="11" fillId="54" borderId="4" xfId="0" applyFont="1" applyFill="1" applyBorder="1"/>
    <xf numFmtId="2" fontId="11" fillId="7" borderId="4" xfId="0" applyNumberFormat="1" applyFont="1" applyFill="1" applyBorder="1" applyAlignment="1">
      <alignment horizontal="center"/>
    </xf>
    <xf numFmtId="0" fontId="12" fillId="3" borderId="0" xfId="0" applyFont="1" applyFill="1" applyAlignment="1">
      <alignment horizontal="center"/>
    </xf>
    <xf numFmtId="0" fontId="12" fillId="3" borderId="12" xfId="0" applyFont="1" applyFill="1" applyBorder="1" applyAlignment="1">
      <alignment horizontal="center"/>
    </xf>
    <xf numFmtId="169" fontId="11" fillId="0" borderId="4" xfId="59" applyNumberFormat="1" applyFont="1" applyBorder="1" applyAlignment="1">
      <alignment horizontal="center"/>
    </xf>
    <xf numFmtId="0" fontId="11" fillId="0" borderId="4" xfId="0" applyFont="1" applyBorder="1" applyAlignment="1">
      <alignment horizontal="center" wrapText="1"/>
    </xf>
    <xf numFmtId="165" fontId="11" fillId="0" borderId="4" xfId="0" applyNumberFormat="1" applyFont="1" applyBorder="1"/>
    <xf numFmtId="0" fontId="11" fillId="55" borderId="4" xfId="0" applyFont="1" applyFill="1" applyBorder="1"/>
    <xf numFmtId="0" fontId="11" fillId="55" borderId="4" xfId="0" applyFont="1" applyFill="1" applyBorder="1" applyAlignment="1">
      <alignment horizontal="center"/>
    </xf>
    <xf numFmtId="0" fontId="10" fillId="0" borderId="4" xfId="0" applyFont="1" applyBorder="1" applyAlignment="1">
      <alignment horizontal="center"/>
    </xf>
    <xf numFmtId="0" fontId="10" fillId="0" borderId="0" xfId="0" applyFont="1" applyAlignment="1">
      <alignment horizontal="center" vertical="center" textRotation="90"/>
    </xf>
    <xf numFmtId="2" fontId="11" fillId="0" borderId="0" xfId="0" applyNumberFormat="1" applyFont="1" applyAlignment="1">
      <alignment horizontal="center" vertical="top"/>
    </xf>
    <xf numFmtId="0" fontId="11" fillId="0" borderId="0" xfId="0" applyFont="1" applyAlignment="1">
      <alignment horizontal="center" vertical="top"/>
    </xf>
    <xf numFmtId="43" fontId="11" fillId="55" borderId="4" xfId="59" applyFont="1" applyFill="1" applyBorder="1" applyAlignment="1">
      <alignment horizontal="center"/>
    </xf>
    <xf numFmtId="0" fontId="33" fillId="0" borderId="0" xfId="39"/>
    <xf numFmtId="0" fontId="59" fillId="3" borderId="0" xfId="39" applyFont="1" applyFill="1"/>
    <xf numFmtId="0" fontId="11" fillId="2" borderId="4" xfId="0" applyFont="1" applyFill="1" applyBorder="1"/>
    <xf numFmtId="0" fontId="11" fillId="0" borderId="4" xfId="0" applyFont="1" applyBorder="1" applyAlignment="1">
      <alignment horizontal="left" vertical="center"/>
    </xf>
    <xf numFmtId="0" fontId="10" fillId="0" borderId="4" xfId="0" applyFont="1" applyBorder="1" applyAlignment="1">
      <alignment horizontal="center" vertical="top" wrapText="1"/>
    </xf>
    <xf numFmtId="0" fontId="12" fillId="3" borderId="0" xfId="0" applyFont="1" applyFill="1" applyAlignment="1">
      <alignment wrapText="1"/>
    </xf>
    <xf numFmtId="4" fontId="46" fillId="0" borderId="4" xfId="0" applyNumberFormat="1" applyFont="1" applyBorder="1" applyAlignment="1">
      <alignment horizontal="center" vertical="center"/>
    </xf>
    <xf numFmtId="4" fontId="11" fillId="0" borderId="0" xfId="0" applyNumberFormat="1" applyFont="1"/>
    <xf numFmtId="171" fontId="11" fillId="0" borderId="0" xfId="0" applyNumberFormat="1" applyFont="1"/>
    <xf numFmtId="43" fontId="11" fillId="0" borderId="0" xfId="59" applyFont="1" applyBorder="1"/>
    <xf numFmtId="0" fontId="13" fillId="0" borderId="0" xfId="0" applyFont="1" applyAlignment="1">
      <alignment horizontal="left" wrapText="1"/>
    </xf>
    <xf numFmtId="0" fontId="12" fillId="4" borderId="0" xfId="0" applyFont="1" applyFill="1" applyAlignment="1">
      <alignment horizontal="center" wrapText="1"/>
    </xf>
    <xf numFmtId="0" fontId="11" fillId="0" borderId="12" xfId="0" applyFont="1" applyBorder="1" applyAlignment="1">
      <alignment horizontal="centerContinuous" vertical="center" wrapText="1"/>
    </xf>
    <xf numFmtId="0" fontId="11" fillId="0" borderId="13" xfId="0" applyFont="1" applyBorder="1" applyAlignment="1">
      <alignment horizontal="centerContinuous" vertical="center" wrapText="1"/>
    </xf>
    <xf numFmtId="0" fontId="11" fillId="0" borderId="5" xfId="0" applyFont="1" applyBorder="1" applyAlignment="1">
      <alignment horizontal="centerContinuous" vertical="center" wrapText="1"/>
    </xf>
    <xf numFmtId="2" fontId="11" fillId="0" borderId="11" xfId="0" applyNumberFormat="1" applyFont="1" applyBorder="1" applyAlignment="1">
      <alignment horizontal="center" vertical="center" wrapText="1"/>
    </xf>
    <xf numFmtId="0" fontId="11" fillId="0" borderId="12"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centerContinuous" vertical="center" wrapText="1"/>
    </xf>
    <xf numFmtId="0" fontId="11" fillId="0" borderId="9" xfId="0" applyFont="1" applyBorder="1" applyAlignment="1">
      <alignment horizontal="centerContinuous" vertical="center" wrapText="1"/>
    </xf>
    <xf numFmtId="0" fontId="11" fillId="0" borderId="0" xfId="0" applyFont="1" applyAlignment="1">
      <alignment horizontal="left" vertical="center"/>
    </xf>
    <xf numFmtId="0" fontId="11" fillId="0" borderId="0" xfId="0" applyFont="1" applyAlignment="1">
      <alignment horizontal="centerContinuous" vertical="center" wrapText="1"/>
    </xf>
    <xf numFmtId="2" fontId="23" fillId="0" borderId="9" xfId="0" applyNumberFormat="1" applyFont="1" applyBorder="1" applyAlignment="1">
      <alignment horizontal="center" vertical="center" wrapText="1"/>
    </xf>
    <xf numFmtId="172" fontId="23" fillId="0" borderId="9" xfId="0" applyNumberFormat="1" applyFont="1" applyBorder="1" applyAlignment="1">
      <alignment horizontal="center" vertical="center" wrapText="1"/>
    </xf>
    <xf numFmtId="0" fontId="23" fillId="0" borderId="6" xfId="0" applyFont="1" applyBorder="1"/>
    <xf numFmtId="0" fontId="12" fillId="4" borderId="12" xfId="0" applyFont="1" applyFill="1" applyBorder="1" applyAlignment="1">
      <alignment horizontal="left"/>
    </xf>
    <xf numFmtId="0" fontId="12" fillId="4" borderId="12" xfId="0" applyFont="1" applyFill="1" applyBorder="1" applyAlignment="1">
      <alignment horizontal="left" wrapText="1"/>
    </xf>
    <xf numFmtId="0" fontId="46" fillId="53" borderId="4" xfId="0" applyFont="1" applyFill="1" applyBorder="1" applyAlignment="1">
      <alignment horizontal="center" vertical="center"/>
    </xf>
    <xf numFmtId="0" fontId="46" fillId="52" borderId="4" xfId="0" applyFont="1" applyFill="1" applyBorder="1" applyAlignment="1">
      <alignment horizontal="center" vertical="center"/>
    </xf>
    <xf numFmtId="0" fontId="46" fillId="51" borderId="4" xfId="0" applyFont="1" applyFill="1" applyBorder="1" applyAlignment="1">
      <alignment horizontal="center" vertical="center"/>
    </xf>
    <xf numFmtId="0" fontId="12" fillId="4" borderId="0" xfId="0" applyFont="1" applyFill="1" applyAlignment="1">
      <alignment horizontal="center"/>
    </xf>
    <xf numFmtId="2" fontId="49" fillId="0" borderId="0" xfId="0" applyNumberFormat="1" applyFont="1" applyAlignment="1">
      <alignment horizontal="left"/>
    </xf>
    <xf numFmtId="2" fontId="11" fillId="0" borderId="4" xfId="59" applyNumberFormat="1" applyFont="1" applyBorder="1" applyAlignment="1">
      <alignment horizontal="right" vertical="center"/>
    </xf>
    <xf numFmtId="9" fontId="11" fillId="56" borderId="4" xfId="7" applyFont="1" applyFill="1" applyBorder="1" applyAlignment="1">
      <alignment horizontal="center"/>
    </xf>
    <xf numFmtId="165" fontId="18" fillId="0" borderId="6" xfId="0" applyNumberFormat="1" applyFont="1" applyBorder="1"/>
    <xf numFmtId="167" fontId="11" fillId="50" borderId="4" xfId="0" applyNumberFormat="1" applyFont="1" applyFill="1" applyBorder="1"/>
    <xf numFmtId="0" fontId="0" fillId="3" borderId="9" xfId="0" applyFill="1" applyBorder="1"/>
    <xf numFmtId="0" fontId="49" fillId="3" borderId="9" xfId="0" applyFont="1" applyFill="1" applyBorder="1" applyAlignment="1">
      <alignment wrapText="1"/>
    </xf>
    <xf numFmtId="0" fontId="59" fillId="3" borderId="0" xfId="39" applyFont="1" applyFill="1" applyAlignment="1">
      <alignment vertical="center"/>
    </xf>
    <xf numFmtId="0" fontId="59" fillId="3" borderId="0" xfId="39" applyFont="1" applyFill="1" applyAlignment="1">
      <alignment wrapText="1"/>
    </xf>
    <xf numFmtId="1" fontId="11" fillId="0" borderId="4" xfId="0" applyNumberFormat="1" applyFont="1" applyBorder="1" applyAlignment="1">
      <alignment horizontal="left"/>
    </xf>
    <xf numFmtId="9" fontId="11" fillId="46" borderId="4" xfId="0" applyNumberFormat="1" applyFont="1" applyFill="1" applyBorder="1"/>
    <xf numFmtId="0" fontId="49" fillId="3" borderId="0" xfId="0" applyFont="1" applyFill="1" applyAlignment="1">
      <alignment vertical="center"/>
    </xf>
    <xf numFmtId="43" fontId="11" fillId="57" borderId="4" xfId="59" applyFont="1" applyFill="1" applyBorder="1"/>
    <xf numFmtId="43" fontId="11" fillId="0" borderId="4" xfId="59" applyFont="1" applyFill="1" applyBorder="1"/>
    <xf numFmtId="0" fontId="13" fillId="0" borderId="0" xfId="0" applyFont="1" applyAlignment="1">
      <alignment horizontal="left" wrapText="1"/>
    </xf>
    <xf numFmtId="0" fontId="11" fillId="8" borderId="0" xfId="0" applyFont="1" applyFill="1" applyAlignment="1">
      <alignment horizontal="left" vertical="top" wrapText="1"/>
    </xf>
    <xf numFmtId="0" fontId="21" fillId="0" borderId="0" xfId="0" applyFont="1" applyAlignment="1">
      <alignment horizontal="left" wrapText="1"/>
    </xf>
    <xf numFmtId="0" fontId="12" fillId="4" borderId="4" xfId="0" applyFont="1" applyFill="1" applyBorder="1" applyAlignment="1">
      <alignment horizontal="center" wrapText="1"/>
    </xf>
    <xf numFmtId="0" fontId="12" fillId="4" borderId="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1" fillId="0" borderId="4" xfId="0" applyFont="1" applyBorder="1" applyAlignment="1">
      <alignment horizontal="center" vertical="center"/>
    </xf>
    <xf numFmtId="0" fontId="0" fillId="0" borderId="6" xfId="0" applyBorder="1" applyAlignment="1">
      <alignment horizontal="center"/>
    </xf>
    <xf numFmtId="0" fontId="49" fillId="3" borderId="10" xfId="0" applyFont="1" applyFill="1" applyBorder="1" applyAlignment="1">
      <alignment horizontal="center" wrapText="1"/>
    </xf>
    <xf numFmtId="0" fontId="49" fillId="3" borderId="9" xfId="0" applyFont="1" applyFill="1" applyBorder="1" applyAlignment="1">
      <alignment horizontal="center" wrapText="1"/>
    </xf>
    <xf numFmtId="0" fontId="12" fillId="47" borderId="0" xfId="0" applyFont="1" applyFill="1" applyAlignment="1">
      <alignment horizontal="center"/>
    </xf>
    <xf numFmtId="0" fontId="60" fillId="3" borderId="8" xfId="39" applyFont="1" applyFill="1" applyBorder="1" applyAlignment="1">
      <alignment horizontal="center"/>
    </xf>
    <xf numFmtId="0" fontId="60" fillId="3" borderId="26" xfId="39" applyFont="1" applyFill="1" applyBorder="1" applyAlignment="1">
      <alignment horizontal="center"/>
    </xf>
    <xf numFmtId="0" fontId="12" fillId="3" borderId="4" xfId="39" applyFont="1" applyFill="1" applyBorder="1" applyAlignment="1">
      <alignment horizontal="center"/>
    </xf>
    <xf numFmtId="0" fontId="12" fillId="3" borderId="0" xfId="39" applyFont="1" applyFill="1" applyAlignment="1">
      <alignment horizontal="center"/>
    </xf>
    <xf numFmtId="0" fontId="12" fillId="3" borderId="0" xfId="0" applyFont="1" applyFill="1" applyAlignment="1">
      <alignment horizontal="center"/>
    </xf>
    <xf numFmtId="0" fontId="42" fillId="3" borderId="4" xfId="39" applyFont="1" applyFill="1" applyBorder="1" applyAlignment="1">
      <alignment horizontal="center" wrapText="1"/>
    </xf>
    <xf numFmtId="0" fontId="42" fillId="3" borderId="4" xfId="0" applyFont="1" applyFill="1" applyBorder="1" applyAlignment="1">
      <alignment horizontal="center"/>
    </xf>
    <xf numFmtId="0" fontId="42" fillId="3" borderId="4" xfId="39" applyFont="1" applyFill="1" applyBorder="1" applyAlignment="1">
      <alignment horizontal="center"/>
    </xf>
    <xf numFmtId="0" fontId="12" fillId="3" borderId="4" xfId="0" applyFont="1" applyFill="1" applyBorder="1" applyAlignment="1">
      <alignment horizontal="center"/>
    </xf>
    <xf numFmtId="0" fontId="41" fillId="0" borderId="12" xfId="0" applyFont="1" applyBorder="1" applyAlignment="1">
      <alignment horizontal="center" vertical="center" textRotation="90"/>
    </xf>
    <xf numFmtId="0" fontId="41" fillId="0" borderId="13" xfId="0" applyFont="1" applyBorder="1" applyAlignment="1">
      <alignment horizontal="center" vertical="center" textRotation="90"/>
    </xf>
    <xf numFmtId="0" fontId="41" fillId="0" borderId="5" xfId="0" applyFont="1" applyBorder="1" applyAlignment="1">
      <alignment horizontal="center" vertical="center" textRotation="90"/>
    </xf>
    <xf numFmtId="0" fontId="10" fillId="0" borderId="0" xfId="0" applyFont="1" applyAlignment="1">
      <alignment horizontal="left" vertical="top" wrapText="1"/>
    </xf>
    <xf numFmtId="0" fontId="23" fillId="0" borderId="0" xfId="0" applyFont="1" applyAlignment="1">
      <alignment horizontal="left" vertical="top" wrapText="1"/>
    </xf>
    <xf numFmtId="0" fontId="11" fillId="0" borderId="0" xfId="0" applyFont="1" applyAlignment="1">
      <alignment horizontal="left" vertical="top" wrapText="1"/>
    </xf>
    <xf numFmtId="0" fontId="10" fillId="0" borderId="12" xfId="0" applyFont="1" applyBorder="1" applyAlignment="1">
      <alignment horizontal="center" vertical="center" textRotation="90"/>
    </xf>
    <xf numFmtId="0" fontId="10" fillId="0" borderId="13" xfId="0" applyFont="1" applyBorder="1" applyAlignment="1">
      <alignment horizontal="center" vertical="center" textRotation="90"/>
    </xf>
    <xf numFmtId="0" fontId="10" fillId="0" borderId="5" xfId="0" applyFont="1" applyBorder="1" applyAlignment="1">
      <alignment horizontal="center" vertical="center" textRotation="90"/>
    </xf>
    <xf numFmtId="0" fontId="10" fillId="0" borderId="12" xfId="0" applyFont="1" applyBorder="1" applyAlignment="1">
      <alignment horizontal="center" vertical="center" textRotation="90" wrapText="1"/>
    </xf>
    <xf numFmtId="0" fontId="10" fillId="0" borderId="13"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41" fillId="0" borderId="12" xfId="0" applyFont="1" applyBorder="1" applyAlignment="1">
      <alignment horizontal="center" vertical="center" textRotation="90" wrapText="1"/>
    </xf>
    <xf numFmtId="0" fontId="41" fillId="0" borderId="13" xfId="0" applyFont="1" applyBorder="1" applyAlignment="1">
      <alignment horizontal="center" vertical="center" textRotation="90" wrapText="1"/>
    </xf>
    <xf numFmtId="0" fontId="41" fillId="0" borderId="5" xfId="0" applyFont="1" applyBorder="1" applyAlignment="1">
      <alignment horizontal="center" vertical="center" textRotation="90" wrapText="1"/>
    </xf>
  </cellXfs>
  <cellStyles count="60">
    <cellStyle name="20% - Accent1" xfId="15" builtinId="30" customBuiltin="1"/>
    <cellStyle name="20% - Accent2" xfId="19" builtinId="34" customBuiltin="1"/>
    <cellStyle name="20% - Accent3" xfId="23" builtinId="38" customBuiltin="1"/>
    <cellStyle name="20% - Accent4" xfId="27" builtinId="42" customBuiltin="1"/>
    <cellStyle name="20% - Accent5" xfId="31" builtinId="46" customBuiltin="1"/>
    <cellStyle name="20% - Accent6" xfId="35" builtinId="50" customBuiltin="1"/>
    <cellStyle name="40% - Accent1" xfId="16" builtinId="31" customBuiltin="1"/>
    <cellStyle name="40% - Accent2" xfId="20" builtinId="35" customBuiltin="1"/>
    <cellStyle name="40% - Accent3" xfId="24" builtinId="39" customBuiltin="1"/>
    <cellStyle name="40% - Accent4" xfId="28" builtinId="43" customBuiltin="1"/>
    <cellStyle name="40% - Accent5" xfId="32" builtinId="47" customBuiltin="1"/>
    <cellStyle name="40% - Accent6" xfId="36" builtinId="51" customBuiltin="1"/>
    <cellStyle name="60% - Accent1" xfId="17" builtinId="32" customBuiltin="1"/>
    <cellStyle name="60% - Accent2" xfId="21" builtinId="36" customBuiltin="1"/>
    <cellStyle name="60% - Accent3" xfId="25" builtinId="40" customBuiltin="1"/>
    <cellStyle name="60% - Accent4" xfId="29" builtinId="44" customBuiltin="1"/>
    <cellStyle name="60% - Accent5" xfId="33" builtinId="48" customBuiltin="1"/>
    <cellStyle name="60% - Accent6" xfId="37" builtinId="52" customBuiltin="1"/>
    <cellStyle name="Accent1" xfId="14" builtinId="29" customBuiltin="1"/>
    <cellStyle name="Accent2" xfId="18" builtinId="33" customBuiltin="1"/>
    <cellStyle name="Accent3" xfId="22" builtinId="37" customBuiltin="1"/>
    <cellStyle name="Accent4" xfId="26" builtinId="41" customBuiltin="1"/>
    <cellStyle name="Accent5" xfId="30" builtinId="45" customBuiltin="1"/>
    <cellStyle name="Accent6" xfId="34" builtinId="49" customBuiltin="1"/>
    <cellStyle name="Bad" xfId="11" builtinId="27" customBuiltin="1"/>
    <cellStyle name="Calculation 2" xfId="42" xr:uid="{D5CA8116-49CF-4D54-B47C-775862331D9A}"/>
    <cellStyle name="Calculation 3" xfId="41" xr:uid="{CD430226-7490-40DD-B8D3-8EDACD5CB996}"/>
    <cellStyle name="Check Cell" xfId="13" builtinId="23" customBuiltin="1"/>
    <cellStyle name="Comma" xfId="59" builtinId="3"/>
    <cellStyle name="Comma 2" xfId="8" xr:uid="{B2E1072E-885D-4B56-9BA5-C32463F2DFA0}"/>
    <cellStyle name="Comma 2 2" xfId="44" xr:uid="{288CE40B-A85B-46CC-A003-60E6A88B579B}"/>
    <cellStyle name="Comma 2 4" xfId="58" xr:uid="{9F484343-8AC5-4813-9F6E-9B3B6D8023DE}"/>
    <cellStyle name="Comma 3" xfId="43" xr:uid="{85BD6B03-E0D6-4657-967F-3B1098EF2A05}"/>
    <cellStyle name="Comma 4" xfId="38" xr:uid="{701E1D33-F092-42BD-9C75-D88CE872942A}"/>
    <cellStyle name="Explanatory Text 2" xfId="45" xr:uid="{0935829A-7466-4F29-88E6-2EB6C26F4279}"/>
    <cellStyle name="Followed Hyperlink 2" xfId="46" xr:uid="{ED2439D3-7CBF-4B71-B0CE-2C371F057A60}"/>
    <cellStyle name="Good" xfId="10"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39" builtinId="8"/>
    <cellStyle name="Hyperlink 2" xfId="47" xr:uid="{F43A1076-F2C0-4E0E-8204-D1DCA3A2E140}"/>
    <cellStyle name="Hyperlink 2 2" xfId="57" xr:uid="{AFED278B-50B9-4A6C-8104-CB2DC4F00D8B}"/>
    <cellStyle name="Input 2" xfId="48" xr:uid="{E069C923-063C-4C84-885A-D9856EC769AA}"/>
    <cellStyle name="Input data" xfId="49" xr:uid="{8FE7466E-40DD-4D1E-A8E7-21134B1DB271}"/>
    <cellStyle name="Linked Cell 2" xfId="50" xr:uid="{BCD353F4-C631-493D-8DE3-0E562EC80C57}"/>
    <cellStyle name="Neutral" xfId="12" builtinId="28" customBuiltin="1"/>
    <cellStyle name="Normal" xfId="0" builtinId="0"/>
    <cellStyle name="Normal 2" xfId="40" xr:uid="{A4E23A67-8F5A-4B1B-BD37-08BF4014FBB8}"/>
    <cellStyle name="Normal 2 2" xfId="51" xr:uid="{620D29EA-5CA2-4C24-BA95-9BA3EA84B529}"/>
    <cellStyle name="Normal 3" xfId="6" xr:uid="{8EE07C36-4B24-4CA3-AB33-AC611A43C6B7}"/>
    <cellStyle name="Note 2" xfId="52" xr:uid="{50F16A5A-93C6-472C-A97F-D20FA8DB186E}"/>
    <cellStyle name="Output 2" xfId="53" xr:uid="{54CF303E-095E-42C1-951F-885596B0273F}"/>
    <cellStyle name="Percent" xfId="7" builtinId="5"/>
    <cellStyle name="Percent 2" xfId="54" xr:uid="{4BBD7319-EBDA-42E6-850B-1A29F0437330}"/>
    <cellStyle name="Selection" xfId="55" xr:uid="{DDF0C19E-8223-4CA5-AD04-9E9BA742589E}"/>
    <cellStyle name="Title" xfId="9" builtinId="15" customBuiltin="1"/>
    <cellStyle name="Total" xfId="5" builtinId="25" customBuiltin="1"/>
    <cellStyle name="Warning Text 2" xfId="56" xr:uid="{EB3D93BD-91EC-4FDE-80F3-270A6095C700}"/>
  </cellStyles>
  <dxfs count="13">
    <dxf>
      <fill>
        <patternFill patternType="lightGray"/>
      </fill>
    </dxf>
    <dxf>
      <fill>
        <patternFill>
          <bgColor theme="5"/>
        </patternFill>
      </fill>
    </dxf>
    <dxf>
      <fill>
        <patternFill>
          <bgColor rgb="FFFFFF00"/>
        </patternFill>
      </fill>
    </dxf>
    <dxf>
      <fill>
        <patternFill>
          <bgColor rgb="FFFFC00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183C73"/>
      <color rgb="FF366340"/>
      <color rgb="FFFFFFE1"/>
      <color rgb="FFFFFFCC"/>
      <color rgb="FF003F79"/>
      <color rgb="FFA6D9F7"/>
      <color rgb="FFF5F17F"/>
      <color rgb="FF046C8B"/>
      <color rgb="FF0095D6"/>
      <color rgb="FFE6F5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latin typeface="Lora Medium" pitchFamily="2" charset="0"/>
              </a:rPr>
              <a:t>Total Carbon Savings</a:t>
            </a:r>
            <a:r>
              <a:rPr lang="en-GB" baseline="0">
                <a:latin typeface="Lora Medium" pitchFamily="2" charset="0"/>
              </a:rPr>
              <a:t> Enabled</a:t>
            </a:r>
            <a:endParaRPr lang="en-GB">
              <a:latin typeface="Lora Medium"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9.8629947594343348E-2"/>
          <c:y val="0.1133144195173283"/>
          <c:w val="0.87907350836998221"/>
          <c:h val="0.84183298842196974"/>
        </c:manualLayout>
      </c:layout>
      <c:barChart>
        <c:barDir val="col"/>
        <c:grouping val="clustered"/>
        <c:varyColors val="0"/>
        <c:ser>
          <c:idx val="0"/>
          <c:order val="0"/>
          <c:spPr>
            <a:solidFill>
              <a:schemeClr val="accent2"/>
            </a:solidFill>
            <a:ln>
              <a:noFill/>
            </a:ln>
            <a:effectLst/>
          </c:spPr>
          <c:invertIfNegative val="0"/>
          <c:errBars>
            <c:errBarType val="both"/>
            <c:errValType val="cust"/>
            <c:noEndCap val="0"/>
            <c:plus>
              <c:numRef>
                <c:f>'Uncertainty Analysis'!$F$13</c:f>
                <c:numCache>
                  <c:formatCode>General</c:formatCode>
                  <c:ptCount val="1"/>
                  <c:pt idx="0">
                    <c:v>-0.44216805282468918</c:v>
                  </c:pt>
                </c:numCache>
              </c:numRef>
            </c:plus>
            <c:minus>
              <c:numRef>
                <c:f>'Uncertainty Analysis'!$H$13</c:f>
                <c:numCache>
                  <c:formatCode>General</c:formatCode>
                  <c:ptCount val="1"/>
                  <c:pt idx="0">
                    <c:v>-0.39602552392299728</c:v>
                  </c:pt>
                </c:numCache>
              </c:numRef>
            </c:minus>
            <c:spPr>
              <a:noFill/>
              <a:ln w="25400" cap="flat" cmpd="sng" algn="ctr">
                <a:solidFill>
                  <a:schemeClr val="tx1">
                    <a:lumMod val="65000"/>
                    <a:lumOff val="35000"/>
                  </a:schemeClr>
                </a:solidFill>
                <a:round/>
              </a:ln>
              <a:effectLst/>
            </c:spPr>
          </c:errBars>
          <c:cat>
            <c:numRef>
              <c:f>'Uncertainty Analysis'!$M$49</c:f>
              <c:numCache>
                <c:formatCode>General</c:formatCode>
                <c:ptCount val="1"/>
              </c:numCache>
            </c:numRef>
          </c:cat>
          <c:val>
            <c:numRef>
              <c:f>'Uncertainty Analysis'!$E$12</c:f>
              <c:numCache>
                <c:formatCode>0.00</c:formatCode>
                <c:ptCount val="1"/>
                <c:pt idx="0">
                  <c:v>-2.1027238383149083</c:v>
                </c:pt>
              </c:numCache>
            </c:numRef>
          </c:val>
          <c:extLst>
            <c:ext xmlns:c16="http://schemas.microsoft.com/office/drawing/2014/chart" uri="{C3380CC4-5D6E-409C-BE32-E72D297353CC}">
              <c16:uniqueId val="{00000000-50DF-4BC8-9010-32CCA5CB8B0B}"/>
            </c:ext>
          </c:extLst>
        </c:ser>
        <c:dLbls>
          <c:showLegendKey val="0"/>
          <c:showVal val="0"/>
          <c:showCatName val="0"/>
          <c:showSerName val="0"/>
          <c:showPercent val="0"/>
          <c:showBubbleSize val="0"/>
        </c:dLbls>
        <c:gapWidth val="219"/>
        <c:overlap val="-27"/>
        <c:axId val="390231359"/>
        <c:axId val="653839327"/>
      </c:barChart>
      <c:catAx>
        <c:axId val="39023135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653839327"/>
        <c:crosses val="autoZero"/>
        <c:auto val="1"/>
        <c:lblAlgn val="ctr"/>
        <c:lblOffset val="100"/>
        <c:tickLblSkip val="1"/>
        <c:noMultiLvlLbl val="0"/>
      </c:catAx>
      <c:valAx>
        <c:axId val="6538393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390231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latin typeface="Lora Medium" pitchFamily="2" charset="0"/>
              </a:rPr>
              <a:t>Total Carbon Savings</a:t>
            </a:r>
            <a:r>
              <a:rPr lang="en-GB" baseline="0">
                <a:latin typeface="Lora Medium" pitchFamily="2" charset="0"/>
              </a:rPr>
              <a:t> Enabled</a:t>
            </a:r>
            <a:endParaRPr lang="en-GB">
              <a:latin typeface="Lora Medium"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9.8629947594343348E-2"/>
          <c:y val="0.1133144195173283"/>
          <c:w val="0.87907350836998221"/>
          <c:h val="0.84183298842196974"/>
        </c:manualLayout>
      </c:layout>
      <c:barChart>
        <c:barDir val="col"/>
        <c:grouping val="clustered"/>
        <c:varyColors val="0"/>
        <c:ser>
          <c:idx val="0"/>
          <c:order val="0"/>
          <c:spPr>
            <a:solidFill>
              <a:schemeClr val="accent2"/>
            </a:solidFill>
            <a:ln>
              <a:noFill/>
            </a:ln>
            <a:effectLst/>
          </c:spPr>
          <c:invertIfNegative val="0"/>
          <c:errBars>
            <c:errBarType val="both"/>
            <c:errValType val="cust"/>
            <c:noEndCap val="0"/>
            <c:plus>
              <c:numRef>
                <c:f>'Uncertainty Analysis'!$F$13</c:f>
                <c:numCache>
                  <c:formatCode>General</c:formatCode>
                  <c:ptCount val="1"/>
                  <c:pt idx="0">
                    <c:v>-0.44216805282468918</c:v>
                  </c:pt>
                </c:numCache>
              </c:numRef>
            </c:plus>
            <c:minus>
              <c:numRef>
                <c:f>'Uncertainty Analysis'!$H$13</c:f>
                <c:numCache>
                  <c:formatCode>General</c:formatCode>
                  <c:ptCount val="1"/>
                  <c:pt idx="0">
                    <c:v>-0.39602552392299728</c:v>
                  </c:pt>
                </c:numCache>
              </c:numRef>
            </c:minus>
            <c:spPr>
              <a:noFill/>
              <a:ln w="25400" cap="flat" cmpd="sng" algn="ctr">
                <a:solidFill>
                  <a:schemeClr val="tx1">
                    <a:lumMod val="65000"/>
                    <a:lumOff val="35000"/>
                  </a:schemeClr>
                </a:solidFill>
                <a:round/>
              </a:ln>
              <a:effectLst/>
            </c:spPr>
          </c:errBars>
          <c:cat>
            <c:numRef>
              <c:f>'Uncertainty Analysis'!$M$49</c:f>
              <c:numCache>
                <c:formatCode>General</c:formatCode>
                <c:ptCount val="1"/>
              </c:numCache>
            </c:numRef>
          </c:cat>
          <c:val>
            <c:numRef>
              <c:f>'Uncertainty Analysis'!$E$12</c:f>
              <c:numCache>
                <c:formatCode>0.00</c:formatCode>
                <c:ptCount val="1"/>
                <c:pt idx="0">
                  <c:v>-2.1027238383149083</c:v>
                </c:pt>
              </c:numCache>
            </c:numRef>
          </c:val>
          <c:extLst>
            <c:ext xmlns:c16="http://schemas.microsoft.com/office/drawing/2014/chart" uri="{C3380CC4-5D6E-409C-BE32-E72D297353CC}">
              <c16:uniqueId val="{00000000-EA1F-4BC6-9BAB-A81050AD2DB8}"/>
            </c:ext>
          </c:extLst>
        </c:ser>
        <c:dLbls>
          <c:showLegendKey val="0"/>
          <c:showVal val="0"/>
          <c:showCatName val="0"/>
          <c:showSerName val="0"/>
          <c:showPercent val="0"/>
          <c:showBubbleSize val="0"/>
        </c:dLbls>
        <c:gapWidth val="219"/>
        <c:overlap val="-27"/>
        <c:axId val="390231359"/>
        <c:axId val="653839327"/>
      </c:barChart>
      <c:catAx>
        <c:axId val="39023135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653839327"/>
        <c:crosses val="autoZero"/>
        <c:auto val="1"/>
        <c:lblAlgn val="ctr"/>
        <c:lblOffset val="100"/>
        <c:tickLblSkip val="1"/>
        <c:noMultiLvlLbl val="0"/>
      </c:catAx>
      <c:valAx>
        <c:axId val="6538393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390231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94617255581525"/>
          <c:y val="0.15115783498670982"/>
          <c:w val="0.71094513040647267"/>
          <c:h val="0.81591135601386822"/>
        </c:manualLayout>
      </c:layout>
      <c:barChart>
        <c:barDir val="bar"/>
        <c:grouping val="clustered"/>
        <c:varyColors val="0"/>
        <c:ser>
          <c:idx val="0"/>
          <c:order val="0"/>
          <c:spPr>
            <a:solidFill>
              <a:srgbClr val="183C73"/>
            </a:solidFill>
            <a:ln>
              <a:noFill/>
            </a:ln>
            <a:effectLst/>
          </c:spPr>
          <c:invertIfNegative val="0"/>
          <c:cat>
            <c:strRef>
              <c:f>'Sensitivity Analysis'!$N$6:$N$19</c:f>
              <c:strCache>
                <c:ptCount val="14"/>
                <c:pt idx="0">
                  <c:v>gaiaTron Station (v3.1, incl. mast) activity data +5%/-5%</c:v>
                </c:pt>
                <c:pt idx="1">
                  <c:v>Solar Radiation Sensor activity data +5%/-5%</c:v>
                </c:pt>
                <c:pt idx="2">
                  <c:v>Air Temperature &amp; Humidity Sensor activity data +5%/-5%</c:v>
                </c:pt>
                <c:pt idx="3">
                  <c:v>Leaf Wetness Sensor activity data +5%/-5%</c:v>
                </c:pt>
                <c:pt idx="4">
                  <c:v>Soil Multi-sensor activity data +5%/-5%</c:v>
                </c:pt>
                <c:pt idx="5">
                  <c:v>Fertiliser, Insecticide, Fungicide emissions activity data +5%/-5%</c:v>
                </c:pt>
                <c:pt idx="6">
                  <c:v>Electricity, Fuel, Water emissions activity data +5%/-5%</c:v>
                </c:pt>
                <c:pt idx="7">
                  <c:v>gaiaTron Station (v3.1, incl. mast) emission factor +5%/-5%</c:v>
                </c:pt>
                <c:pt idx="8">
                  <c:v>Solar Radiation Sensor emission factor +5%/-5%</c:v>
                </c:pt>
                <c:pt idx="9">
                  <c:v>Air Temperature &amp; Humidity Sensor emission factor +5%/-5%</c:v>
                </c:pt>
                <c:pt idx="10">
                  <c:v>Leaf Wetness Sensor emission factor +5%/-5%</c:v>
                </c:pt>
                <c:pt idx="11">
                  <c:v>Soil Multi-sensor emission factor +5%/-5%</c:v>
                </c:pt>
                <c:pt idx="12">
                  <c:v>Fertiliser, Insecticide, Fungicide emissions emission factor +5%/-5%</c:v>
                </c:pt>
                <c:pt idx="13">
                  <c:v>Electricity, Fuel, Water emissions emission factor +5%/-5%</c:v>
                </c:pt>
              </c:strCache>
            </c:strRef>
          </c:cat>
          <c:val>
            <c:numRef>
              <c:f>'Sensitivity Analysis'!$L$6:$L$19</c:f>
              <c:numCache>
                <c:formatCode>0.00%</c:formatCode>
                <c:ptCount val="14"/>
                <c:pt idx="0">
                  <c:v>2.1171239479531589E-3</c:v>
                </c:pt>
                <c:pt idx="1">
                  <c:v>1.1413533191895198E-5</c:v>
                </c:pt>
                <c:pt idx="2">
                  <c:v>1.2733146411925134E-5</c:v>
                </c:pt>
                <c:pt idx="3">
                  <c:v>1.5218044255860264E-5</c:v>
                </c:pt>
                <c:pt idx="4">
                  <c:v>1.5218044255860264E-5</c:v>
                </c:pt>
                <c:pt idx="5">
                  <c:v>-5.1912981886361065E-2</c:v>
                </c:pt>
                <c:pt idx="6">
                  <c:v>-2.5872482970967781E-4</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F8A-4264-860E-63D8CABFC2A5}"/>
            </c:ext>
          </c:extLst>
        </c:ser>
        <c:ser>
          <c:idx val="1"/>
          <c:order val="1"/>
          <c:spPr>
            <a:solidFill>
              <a:srgbClr val="A6D9F7"/>
            </a:solidFill>
            <a:ln>
              <a:noFill/>
            </a:ln>
            <a:effectLst/>
          </c:spPr>
          <c:invertIfNegative val="0"/>
          <c:cat>
            <c:strRef>
              <c:f>'Sensitivity Analysis'!$N$6:$N$19</c:f>
              <c:strCache>
                <c:ptCount val="14"/>
                <c:pt idx="0">
                  <c:v>gaiaTron Station (v3.1, incl. mast) activity data +5%/-5%</c:v>
                </c:pt>
                <c:pt idx="1">
                  <c:v>Solar Radiation Sensor activity data +5%/-5%</c:v>
                </c:pt>
                <c:pt idx="2">
                  <c:v>Air Temperature &amp; Humidity Sensor activity data +5%/-5%</c:v>
                </c:pt>
                <c:pt idx="3">
                  <c:v>Leaf Wetness Sensor activity data +5%/-5%</c:v>
                </c:pt>
                <c:pt idx="4">
                  <c:v>Soil Multi-sensor activity data +5%/-5%</c:v>
                </c:pt>
                <c:pt idx="5">
                  <c:v>Fertiliser, Insecticide, Fungicide emissions activity data +5%/-5%</c:v>
                </c:pt>
                <c:pt idx="6">
                  <c:v>Electricity, Fuel, Water emissions activity data +5%/-5%</c:v>
                </c:pt>
                <c:pt idx="7">
                  <c:v>gaiaTron Station (v3.1, incl. mast) emission factor +5%/-5%</c:v>
                </c:pt>
                <c:pt idx="8">
                  <c:v>Solar Radiation Sensor emission factor +5%/-5%</c:v>
                </c:pt>
                <c:pt idx="9">
                  <c:v>Air Temperature &amp; Humidity Sensor emission factor +5%/-5%</c:v>
                </c:pt>
                <c:pt idx="10">
                  <c:v>Leaf Wetness Sensor emission factor +5%/-5%</c:v>
                </c:pt>
                <c:pt idx="11">
                  <c:v>Soil Multi-sensor emission factor +5%/-5%</c:v>
                </c:pt>
                <c:pt idx="12">
                  <c:v>Fertiliser, Insecticide, Fungicide emissions emission factor +5%/-5%</c:v>
                </c:pt>
                <c:pt idx="13">
                  <c:v>Electricity, Fuel, Water emissions emission factor +5%/-5%</c:v>
                </c:pt>
              </c:strCache>
            </c:strRef>
          </c:cat>
          <c:val>
            <c:numRef>
              <c:f>'Sensitivity Analysis'!$M$6:$M$19</c:f>
              <c:numCache>
                <c:formatCode>0.00%</c:formatCode>
                <c:ptCount val="14"/>
                <c:pt idx="0">
                  <c:v>-2.1171239479537141E-3</c:v>
                </c:pt>
                <c:pt idx="1">
                  <c:v>-1.1413533192561331E-5</c:v>
                </c:pt>
                <c:pt idx="2">
                  <c:v>-1.2733146412369223E-5</c:v>
                </c:pt>
                <c:pt idx="3">
                  <c:v>-1.521804425663742E-5</c:v>
                </c:pt>
                <c:pt idx="4">
                  <c:v>-1.521804425663742E-5</c:v>
                </c:pt>
                <c:pt idx="5">
                  <c:v>5.1912981886360621E-2</c:v>
                </c:pt>
                <c:pt idx="6">
                  <c:v>2.5872482970901167E-4</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F8A-4264-860E-63D8CABFC2A5}"/>
            </c:ext>
          </c:extLst>
        </c:ser>
        <c:dLbls>
          <c:showLegendKey val="0"/>
          <c:showVal val="0"/>
          <c:showCatName val="0"/>
          <c:showSerName val="0"/>
          <c:showPercent val="0"/>
          <c:showBubbleSize val="0"/>
        </c:dLbls>
        <c:gapWidth val="182"/>
        <c:axId val="850914463"/>
        <c:axId val="618690351"/>
      </c:barChart>
      <c:catAx>
        <c:axId val="850914463"/>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endParaRPr lang="en-US"/>
          </a:p>
        </c:txPr>
        <c:crossAx val="618690351"/>
        <c:crosses val="autoZero"/>
        <c:auto val="1"/>
        <c:lblAlgn val="ctr"/>
        <c:lblOffset val="100"/>
        <c:noMultiLvlLbl val="0"/>
      </c:catAx>
      <c:valAx>
        <c:axId val="618690351"/>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Lora" pitchFamily="2" charset="0"/>
                    <a:ea typeface="+mn-ea"/>
                    <a:cs typeface="+mn-cs"/>
                  </a:defRPr>
                </a:pPr>
                <a:r>
                  <a:rPr lang="en-GB" sz="1050">
                    <a:latin typeface="Lora" pitchFamily="2" charset="0"/>
                  </a:rPr>
                  <a:t>Percentage variation in net carbon impact </a:t>
                </a:r>
              </a:p>
            </c:rich>
          </c:tx>
          <c:layout>
            <c:manualLayout>
              <c:xMode val="edge"/>
              <c:yMode val="edge"/>
              <c:x val="0.37643747706840808"/>
              <c:y val="2.3949679272306911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Lora" pitchFamily="2"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85091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78441</xdr:colOff>
      <xdr:row>49</xdr:row>
      <xdr:rowOff>212912</xdr:rowOff>
    </xdr:from>
    <xdr:to>
      <xdr:col>1</xdr:col>
      <xdr:colOff>5065058</xdr:colOff>
      <xdr:row>62</xdr:row>
      <xdr:rowOff>44824</xdr:rowOff>
    </xdr:to>
    <xdr:graphicFrame macro="">
      <xdr:nvGraphicFramePr>
        <xdr:cNvPr id="3" name="Chart 2">
          <a:extLst>
            <a:ext uri="{FF2B5EF4-FFF2-40B4-BE49-F238E27FC236}">
              <a16:creationId xmlns:a16="http://schemas.microsoft.com/office/drawing/2014/main" id="{28B1AD45-CC1E-4F93-AEBE-035271143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830232</xdr:colOff>
      <xdr:row>1</xdr:row>
      <xdr:rowOff>112766</xdr:rowOff>
    </xdr:from>
    <xdr:to>
      <xdr:col>12</xdr:col>
      <xdr:colOff>189064</xdr:colOff>
      <xdr:row>13</xdr:row>
      <xdr:rowOff>0</xdr:rowOff>
    </xdr:to>
    <xdr:graphicFrame macro="">
      <xdr:nvGraphicFramePr>
        <xdr:cNvPr id="2" name="Chart 1">
          <a:extLst>
            <a:ext uri="{FF2B5EF4-FFF2-40B4-BE49-F238E27FC236}">
              <a16:creationId xmlns:a16="http://schemas.microsoft.com/office/drawing/2014/main" id="{B66B218A-EF53-4AB9-BB63-813F297FBB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719636</xdr:colOff>
      <xdr:row>22</xdr:row>
      <xdr:rowOff>27213</xdr:rowOff>
    </xdr:from>
    <xdr:to>
      <xdr:col>10</xdr:col>
      <xdr:colOff>367393</xdr:colOff>
      <xdr:row>41</xdr:row>
      <xdr:rowOff>27214</xdr:rowOff>
    </xdr:to>
    <xdr:graphicFrame macro="">
      <xdr:nvGraphicFramePr>
        <xdr:cNvPr id="2" name="Chart 1">
          <a:extLst>
            <a:ext uri="{FF2B5EF4-FFF2-40B4-BE49-F238E27FC236}">
              <a16:creationId xmlns:a16="http://schemas.microsoft.com/office/drawing/2014/main" id="{FE915D73-5D5E-4353-8C83-557BBF92A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109</xdr:row>
      <xdr:rowOff>0</xdr:rowOff>
    </xdr:from>
    <xdr:to>
      <xdr:col>3</xdr:col>
      <xdr:colOff>1427411</xdr:colOff>
      <xdr:row>126</xdr:row>
      <xdr:rowOff>164342</xdr:rowOff>
    </xdr:to>
    <xdr:pic>
      <xdr:nvPicPr>
        <xdr:cNvPr id="2" name="Picture 1">
          <a:extLst>
            <a:ext uri="{FF2B5EF4-FFF2-40B4-BE49-F238E27FC236}">
              <a16:creationId xmlns:a16="http://schemas.microsoft.com/office/drawing/2014/main" id="{5A209221-BE98-4F04-5693-331062B81863}"/>
            </a:ext>
          </a:extLst>
        </xdr:cNvPr>
        <xdr:cNvPicPr>
          <a:picLocks noChangeAspect="1"/>
        </xdr:cNvPicPr>
      </xdr:nvPicPr>
      <xdr:blipFill>
        <a:blip xmlns:r="http://schemas.openxmlformats.org/officeDocument/2006/relationships" r:embed="rId1"/>
        <a:stretch>
          <a:fillRect/>
        </a:stretch>
      </xdr:blipFill>
      <xdr:spPr>
        <a:xfrm>
          <a:off x="653143" y="27704143"/>
          <a:ext cx="7868748" cy="4324954"/>
        </a:xfrm>
        <a:prstGeom prst="rect">
          <a:avLst/>
        </a:prstGeom>
      </xdr:spPr>
    </xdr:pic>
    <xdr:clientData/>
  </xdr:twoCellAnchor>
  <xdr:twoCellAnchor editAs="oneCell">
    <xdr:from>
      <xdr:col>3</xdr:col>
      <xdr:colOff>3197679</xdr:colOff>
      <xdr:row>109</xdr:row>
      <xdr:rowOff>54429</xdr:rowOff>
    </xdr:from>
    <xdr:to>
      <xdr:col>7</xdr:col>
      <xdr:colOff>307245</xdr:colOff>
      <xdr:row>114</xdr:row>
      <xdr:rowOff>39629</xdr:rowOff>
    </xdr:to>
    <xdr:pic>
      <xdr:nvPicPr>
        <xdr:cNvPr id="3" name="Picture 2">
          <a:extLst>
            <a:ext uri="{FF2B5EF4-FFF2-40B4-BE49-F238E27FC236}">
              <a16:creationId xmlns:a16="http://schemas.microsoft.com/office/drawing/2014/main" id="{DD06B0FC-774B-67B1-A0FD-7FAF238E9B61}"/>
            </a:ext>
          </a:extLst>
        </xdr:cNvPr>
        <xdr:cNvPicPr>
          <a:picLocks noChangeAspect="1"/>
        </xdr:cNvPicPr>
      </xdr:nvPicPr>
      <xdr:blipFill>
        <a:blip xmlns:r="http://schemas.openxmlformats.org/officeDocument/2006/relationships" r:embed="rId2"/>
        <a:stretch>
          <a:fillRect/>
        </a:stretch>
      </xdr:blipFill>
      <xdr:spPr>
        <a:xfrm>
          <a:off x="9144000" y="27758572"/>
          <a:ext cx="7367028" cy="1209844"/>
        </a:xfrm>
        <a:prstGeom prst="rect">
          <a:avLst/>
        </a:prstGeom>
      </xdr:spPr>
    </xdr:pic>
    <xdr:clientData/>
  </xdr:twoCellAnchor>
  <xdr:twoCellAnchor editAs="oneCell">
    <xdr:from>
      <xdr:col>3</xdr:col>
      <xdr:colOff>3156857</xdr:colOff>
      <xdr:row>114</xdr:row>
      <xdr:rowOff>81642</xdr:rowOff>
    </xdr:from>
    <xdr:to>
      <xdr:col>7</xdr:col>
      <xdr:colOff>1169353</xdr:colOff>
      <xdr:row>137</xdr:row>
      <xdr:rowOff>170435</xdr:rowOff>
    </xdr:to>
    <xdr:pic>
      <xdr:nvPicPr>
        <xdr:cNvPr id="4" name="Picture 3">
          <a:extLst>
            <a:ext uri="{FF2B5EF4-FFF2-40B4-BE49-F238E27FC236}">
              <a16:creationId xmlns:a16="http://schemas.microsoft.com/office/drawing/2014/main" id="{06BCFAE9-C0EC-1D22-6EF5-549CDF07018F}"/>
            </a:ext>
          </a:extLst>
        </xdr:cNvPr>
        <xdr:cNvPicPr>
          <a:picLocks noChangeAspect="1"/>
        </xdr:cNvPicPr>
      </xdr:nvPicPr>
      <xdr:blipFill>
        <a:blip xmlns:r="http://schemas.openxmlformats.org/officeDocument/2006/relationships" r:embed="rId3"/>
        <a:stretch>
          <a:fillRect/>
        </a:stretch>
      </xdr:blipFill>
      <xdr:spPr>
        <a:xfrm>
          <a:off x="9103178" y="29010428"/>
          <a:ext cx="8259328" cy="5722149"/>
        </a:xfrm>
        <a:prstGeom prst="rect">
          <a:avLst/>
        </a:prstGeom>
      </xdr:spPr>
    </xdr:pic>
    <xdr:clientData/>
  </xdr:twoCellAnchor>
  <xdr:twoCellAnchor editAs="oneCell">
    <xdr:from>
      <xdr:col>3</xdr:col>
      <xdr:colOff>3102428</xdr:colOff>
      <xdr:row>137</xdr:row>
      <xdr:rowOff>176893</xdr:rowOff>
    </xdr:from>
    <xdr:to>
      <xdr:col>7</xdr:col>
      <xdr:colOff>1111749</xdr:colOff>
      <xdr:row>146</xdr:row>
      <xdr:rowOff>201696</xdr:rowOff>
    </xdr:to>
    <xdr:pic>
      <xdr:nvPicPr>
        <xdr:cNvPr id="5" name="Picture 4">
          <a:extLst>
            <a:ext uri="{FF2B5EF4-FFF2-40B4-BE49-F238E27FC236}">
              <a16:creationId xmlns:a16="http://schemas.microsoft.com/office/drawing/2014/main" id="{8C847347-970A-E6AA-F736-FC3090CC754D}"/>
            </a:ext>
          </a:extLst>
        </xdr:cNvPr>
        <xdr:cNvPicPr>
          <a:picLocks noChangeAspect="1"/>
        </xdr:cNvPicPr>
      </xdr:nvPicPr>
      <xdr:blipFill>
        <a:blip xmlns:r="http://schemas.openxmlformats.org/officeDocument/2006/relationships" r:embed="rId4"/>
        <a:stretch>
          <a:fillRect/>
        </a:stretch>
      </xdr:blipFill>
      <xdr:spPr>
        <a:xfrm>
          <a:off x="9048749" y="34739036"/>
          <a:ext cx="8259328" cy="22323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52916</xdr:colOff>
      <xdr:row>42</xdr:row>
      <xdr:rowOff>31750</xdr:rowOff>
    </xdr:from>
    <xdr:to>
      <xdr:col>1</xdr:col>
      <xdr:colOff>1532542</xdr:colOff>
      <xdr:row>56</xdr:row>
      <xdr:rowOff>106011</xdr:rowOff>
    </xdr:to>
    <xdr:pic>
      <xdr:nvPicPr>
        <xdr:cNvPr id="2" name="Picture 1">
          <a:extLst>
            <a:ext uri="{FF2B5EF4-FFF2-40B4-BE49-F238E27FC236}">
              <a16:creationId xmlns:a16="http://schemas.microsoft.com/office/drawing/2014/main" id="{7E76F881-FC61-84DF-817F-5207C9E1CB97}"/>
            </a:ext>
          </a:extLst>
        </xdr:cNvPr>
        <xdr:cNvPicPr>
          <a:picLocks noChangeAspect="1"/>
        </xdr:cNvPicPr>
      </xdr:nvPicPr>
      <xdr:blipFill>
        <a:blip xmlns:r="http://schemas.openxmlformats.org/officeDocument/2006/relationships" r:embed="rId1"/>
        <a:stretch>
          <a:fillRect/>
        </a:stretch>
      </xdr:blipFill>
      <xdr:spPr>
        <a:xfrm>
          <a:off x="709083" y="7080250"/>
          <a:ext cx="1476451" cy="3464103"/>
        </a:xfrm>
        <a:prstGeom prst="rect">
          <a:avLst/>
        </a:prstGeom>
      </xdr:spPr>
    </xdr:pic>
    <xdr:clientData/>
  </xdr:twoCellAnchor>
  <xdr:twoCellAnchor editAs="oneCell">
    <xdr:from>
      <xdr:col>2</xdr:col>
      <xdr:colOff>1291167</xdr:colOff>
      <xdr:row>42</xdr:row>
      <xdr:rowOff>31750</xdr:rowOff>
    </xdr:from>
    <xdr:to>
      <xdr:col>3</xdr:col>
      <xdr:colOff>2678780</xdr:colOff>
      <xdr:row>51</xdr:row>
      <xdr:rowOff>142993</xdr:rowOff>
    </xdr:to>
    <xdr:pic>
      <xdr:nvPicPr>
        <xdr:cNvPr id="3" name="Picture 2">
          <a:extLst>
            <a:ext uri="{FF2B5EF4-FFF2-40B4-BE49-F238E27FC236}">
              <a16:creationId xmlns:a16="http://schemas.microsoft.com/office/drawing/2014/main" id="{8CF9035F-5E24-A10C-56D9-9CB0326F7486}"/>
            </a:ext>
          </a:extLst>
        </xdr:cNvPr>
        <xdr:cNvPicPr>
          <a:picLocks noChangeAspect="1"/>
        </xdr:cNvPicPr>
      </xdr:nvPicPr>
      <xdr:blipFill>
        <a:blip xmlns:r="http://schemas.openxmlformats.org/officeDocument/2006/relationships" r:embed="rId2"/>
        <a:stretch>
          <a:fillRect/>
        </a:stretch>
      </xdr:blipFill>
      <xdr:spPr>
        <a:xfrm>
          <a:off x="5048250" y="7143750"/>
          <a:ext cx="2692538" cy="2292468"/>
        </a:xfrm>
        <a:prstGeom prst="rect">
          <a:avLst/>
        </a:prstGeom>
      </xdr:spPr>
    </xdr:pic>
    <xdr:clientData/>
  </xdr:twoCellAnchor>
</xdr:wsDr>
</file>

<file path=xl/theme/theme1.xml><?xml version="1.0" encoding="utf-8"?>
<a:theme xmlns:a="http://schemas.openxmlformats.org/drawingml/2006/main" name="Office Theme">
  <a:themeElements>
    <a:clrScheme name="Carbon Trust 1">
      <a:dk1>
        <a:srgbClr val="000000"/>
      </a:dk1>
      <a:lt1>
        <a:srgbClr val="FFFFFF"/>
      </a:lt1>
      <a:dk2>
        <a:srgbClr val="1D192B"/>
      </a:dk2>
      <a:lt2>
        <a:srgbClr val="00A7FF"/>
      </a:lt2>
      <a:accent1>
        <a:srgbClr val="2147ED"/>
      </a:accent1>
      <a:accent2>
        <a:srgbClr val="00FF6C"/>
      </a:accent2>
      <a:accent3>
        <a:srgbClr val="C724B1"/>
      </a:accent3>
      <a:accent4>
        <a:srgbClr val="00007F"/>
      </a:accent4>
      <a:accent5>
        <a:srgbClr val="D6D6D4"/>
      </a:accent5>
      <a:accent6>
        <a:srgbClr val="71FFFF"/>
      </a:accent6>
      <a:hlink>
        <a:srgbClr val="00007F"/>
      </a:hlink>
      <a:folHlink>
        <a:srgbClr val="A7B8F5"/>
      </a:folHlink>
    </a:clrScheme>
    <a:fontScheme name="Carbon Trust 1">
      <a:majorFont>
        <a:latin typeface="Arial"/>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hyperlink" Target="https://ypen.gov.gr/wp-content/uploads/2025/06/%CE%A3%CF%85%CE%BD%CF%84%CE%B5%CE%BB%CE%B5%CF%83%CF%84%CE%AD%CF%82-%CF%85%CF%80%CE%BF%CE%BB%CE%BF%CE%B3%CE%B9%CF%83%CE%BC%CE%BF%CF%8D-2024.pdf" TargetMode="External"/><Relationship Id="rId13" Type="http://schemas.openxmlformats.org/officeDocument/2006/relationships/hyperlink" Target="https://geoponikopontiki.gr/en/product/super-organ-natural-organic-soil-improvement-25kg/" TargetMode="External"/><Relationship Id="rId3" Type="http://schemas.openxmlformats.org/officeDocument/2006/relationships/hyperlink" Target="https://pubmed.ncbi.nlm.nih.gov/15196846/" TargetMode="External"/><Relationship Id="rId7" Type="http://schemas.openxmlformats.org/officeDocument/2006/relationships/hyperlink" Target="https://www.eea.europa.eu/en/analysis/maps-and-charts/co2-emission-intensity-15?activeTab=6fbd444d-c422-4a78-8492-fd496bd61b7a" TargetMode="External"/><Relationship Id="rId12" Type="http://schemas.openxmlformats.org/officeDocument/2006/relationships/hyperlink" Target="https://www.semanticscholar.org/paper/LCI-data-for-the-calculation-tool-Feedprint-for-gas-Marinussen-Kernebeek/367774ab3c17da2e86319aed0c934cd3a33f8117/" TargetMode="External"/><Relationship Id="rId17" Type="http://schemas.openxmlformats.org/officeDocument/2006/relationships/hyperlink" Target="https://www.ipcc-nggip.iges.or.jp/public/2019rf/pdf/4_Volume4/19R_V4_Ch11_Soils_N2O_CO2.pdf" TargetMode="External"/><Relationship Id="rId2" Type="http://schemas.openxmlformats.org/officeDocument/2006/relationships/hyperlink" Target="https://www.semanticscholar.org/paper/LCI-data-for-the-calculation-tool-Feedprint-for-gas-Marinussen-Kernebeek/367774ab3c17da2e86319aed0c934cd3a33f8117/" TargetMode="External"/><Relationship Id="rId16" Type="http://schemas.openxmlformats.org/officeDocument/2006/relationships/hyperlink" Target="https://www.semanticscholar.org/paper/LCI-data-for-the-calculation-tool-Feedprint-for-gas-Marinussen-Kernebeek/367774ab3c17da2e86319aed0c934cd3a33f8117/" TargetMode="External"/><Relationship Id="rId1" Type="http://schemas.openxmlformats.org/officeDocument/2006/relationships/hyperlink" Target="https://www.ipcc-nggip.iges.or.jp/public/2019rf/pdf/4_Volume4/19R_V4_Ch11_Soils_N2O_CO2.pdf" TargetMode="External"/><Relationship Id="rId6" Type="http://schemas.openxmlformats.org/officeDocument/2006/relationships/hyperlink" Target="https://pubmed.ncbi.nlm.nih.gov/15196846/" TargetMode="External"/><Relationship Id="rId11" Type="http://schemas.openxmlformats.org/officeDocument/2006/relationships/hyperlink" Target="https://americanplantfood.com/product/n-rich-ammonium-sulfate/" TargetMode="External"/><Relationship Id="rId5" Type="http://schemas.openxmlformats.org/officeDocument/2006/relationships/hyperlink" Target="https://pubmed.ncbi.nlm.nih.gov/15196846/" TargetMode="External"/><Relationship Id="rId15" Type="http://schemas.openxmlformats.org/officeDocument/2006/relationships/hyperlink" Target="https://www.ipcc-nggip.iges.or.jp/public/2019rf/pdf/4_Volume4/19R_V4_Ch11_Soils_N2O_CO2.pdf" TargetMode="External"/><Relationship Id="rId10" Type="http://schemas.openxmlformats.org/officeDocument/2006/relationships/hyperlink" Target="https://ypen.gov.gr/wp-content/uploads/2025/06/%CE%A3%CF%85%CE%BD%CF%84%CE%B5%CE%BB%CE%B5%CF%83%CF%84%CE%AD%CF%82-%CF%85%CF%80%CE%BF%CE%BB%CE%BF%CE%B3%CE%B9%CF%83%CE%BC%CE%BF%CF%8D-2024.pdf" TargetMode="External"/><Relationship Id="rId4" Type="http://schemas.openxmlformats.org/officeDocument/2006/relationships/hyperlink" Target="https://pubmed.ncbi.nlm.nih.gov/15196846/" TargetMode="External"/><Relationship Id="rId9" Type="http://schemas.openxmlformats.org/officeDocument/2006/relationships/hyperlink" Target="https://ypen.gov.gr/wp-content/uploads/2025/06/%CE%A3%CF%85%CE%BD%CF%84%CE%B5%CE%BB%CE%B5%CF%83%CF%84%CE%AD%CF%82-%CF%85%CF%80%CE%BF%CE%BB%CE%BF%CE%B3%CE%B9%CF%83%CE%BC%CE%BF%CF%8D-2024.pdf" TargetMode="External"/><Relationship Id="rId14" Type="http://schemas.openxmlformats.org/officeDocument/2006/relationships/hyperlink" Target="https://www.semanticscholar.org/paper/LCI-data-for-the-calculation-tool-Feedprint-for-gas-Marinussen-Kernebeek/367774ab3c17da2e86319aed0c934cd3a33f8117/figure/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sciencedirect.com/science/article/abs/pii/S030442389900045X" TargetMode="External"/><Relationship Id="rId2" Type="http://schemas.openxmlformats.org/officeDocument/2006/relationships/hyperlink" Target="https://www.ipcc-nggip.iges.or.jp/public/2019rf/pdf/4_Volume4/19R_V4_Ch11_Soils_N2O_CO2.pdf" TargetMode="External"/><Relationship Id="rId1" Type="http://schemas.openxmlformats.org/officeDocument/2006/relationships/hyperlink" Target="https://www.ipcc-nggip.iges.or.jp/public/2019rf/pdf/4_Volume4/19R_V4_Ch11_Soils_N2O_CO2.pdf" TargetMode="External"/><Relationship Id="rId5" Type="http://schemas.openxmlformats.org/officeDocument/2006/relationships/drawing" Target="../drawings/drawing4.xml"/><Relationship Id="rId4" Type="http://schemas.openxmlformats.org/officeDocument/2006/relationships/hyperlink" Target="https://www.mdpi.com/2077-0472/14/11/1923"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hyperlink" Target="https://view.officeapps.live.com/op/view.aspx?src=https%3A%2F%2Fassets.publishing.service.gov.uk%2Fmedia%2F6722567487df31a87d8c497e%2Fghg-conversion-factors-2024-full_set__for_advanced_users__v1_1.xlsx&amp;wdOrigin=BROWSELINK" TargetMode="External"/><Relationship Id="rId3" Type="http://schemas.openxmlformats.org/officeDocument/2006/relationships/hyperlink" Target="https://www.semanticscholar.org/paper/LCI-data-for-the-calculation-tool-Feedprint-for-gas-Marinussen-Kernebeek/367774ab3c17da2e86319aed0c934cd3a33f8117/" TargetMode="External"/><Relationship Id="rId7" Type="http://schemas.openxmlformats.org/officeDocument/2006/relationships/hyperlink" Target="https://view.officeapps.live.com/op/view.aspx?src=https%3A%2F%2Fassets.publishing.service.gov.uk%2Fmedia%2F6722567487df31a87d8c497e%2Fghg-conversion-factors-2024-full_set__for_advanced_users__v1_1.xlsx&amp;wdOrigin=BROWSELINK" TargetMode="External"/><Relationship Id="rId2" Type="http://schemas.openxmlformats.org/officeDocument/2006/relationships/hyperlink" Target="https://pubmed.ncbi.nlm.nih.gov/15196846/" TargetMode="External"/><Relationship Id="rId1" Type="http://schemas.openxmlformats.org/officeDocument/2006/relationships/hyperlink" Target="https://ourworldindata.org/grapher/carbon-intensity-electricity?tab=table&amp;country=~GRC&amp;mapSelect=~GRC" TargetMode="External"/><Relationship Id="rId6" Type="http://schemas.openxmlformats.org/officeDocument/2006/relationships/hyperlink" Target="https://view.officeapps.live.com/op/view.aspx?src=https%3A%2F%2Fassets.publishing.service.gov.uk%2Fmedia%2F6722567487df31a87d8c497e%2Fghg-conversion-factors-2024-full_set__for_advanced_users__v1_1.xlsx&amp;wdOrigin=BROWSELINK" TargetMode="External"/><Relationship Id="rId5" Type="http://schemas.openxmlformats.org/officeDocument/2006/relationships/hyperlink" Target="https://view.officeapps.live.com/op/view.aspx?src=https%3A%2F%2Fassets.publishing.service.gov.uk%2Fmedia%2F6722567487df31a87d8c497e%2Fghg-conversion-factors-2024-full_set__for_advanced_users__v1_1.xlsx&amp;wdOrigin=BROWSELINK" TargetMode="External"/><Relationship Id="rId4" Type="http://schemas.openxmlformats.org/officeDocument/2006/relationships/hyperlink" Target="https://www.ipcc-nggip.iges.or.jp/public/2019rf/pdf/4_Volume4/19R_V4_Ch11_Soils_N2O_CO2.pdf" TargetMode="External"/><Relationship Id="rId9"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semanticscholar.org/paper/LCI-data-for-the-calculation-tool-Feedprint-for-gas-Marinussen-Kernebeek/367774ab3c17da2e86319aed0c934cd3a33f8117/" TargetMode="External"/><Relationship Id="rId13" Type="http://schemas.openxmlformats.org/officeDocument/2006/relationships/hyperlink" Target="https://pubmed.ncbi.nlm.nih.gov/15196846/" TargetMode="External"/><Relationship Id="rId18" Type="http://schemas.openxmlformats.org/officeDocument/2006/relationships/hyperlink" Target="https://ypen.gov.gr/wp-content/uploads/2023/12/%CE%A3%CF%85%CE%BD%CF%84%CE%B5%CE%BB%CE%B5%CF%83%CF%84%CE%AD%CF%82-%CF%85%CF%80%CE%BF%CE%BB%CE%BF%CE%B3%CE%B9%CF%83%CE%BC%CE%BF%CF%8D-%CE%B3%CE%B9%CE%B1-%CF%84%CE%BF-%CE%AD%CF%84%CE%BF%CF%82-2022.pdf" TargetMode="External"/><Relationship Id="rId3" Type="http://schemas.openxmlformats.org/officeDocument/2006/relationships/hyperlink" Target="https://www.ipcc-nggip.iges.or.jp/public/2019rf/pdf/4_Volume4/19R_V4_Ch11_Soils_N2O_CO2.pdf" TargetMode="External"/><Relationship Id="rId21" Type="http://schemas.openxmlformats.org/officeDocument/2006/relationships/hyperlink" Target="https://www.ipcc-nggip.iges.or.jp/public/2019rf/pdf/4_Volume4/19R_V4_Ch11_Soils_N2O_CO2.pdf" TargetMode="External"/><Relationship Id="rId7" Type="http://schemas.openxmlformats.org/officeDocument/2006/relationships/hyperlink" Target="https://americanplantfood.com/product/n-rich-ammonium-sulfate/" TargetMode="External"/><Relationship Id="rId12" Type="http://schemas.openxmlformats.org/officeDocument/2006/relationships/hyperlink" Target="https://pubmed.ncbi.nlm.nih.gov/15196846/" TargetMode="External"/><Relationship Id="rId17" Type="http://schemas.openxmlformats.org/officeDocument/2006/relationships/hyperlink" Target="https://ypen.gov.gr/wp-content/uploads/2023/12/%CE%A3%CF%85%CE%BD%CF%84%CE%B5%CE%BB%CE%B5%CF%83%CF%84%CE%AD%CF%82-%CF%85%CF%80%CE%BF%CE%BB%CE%BF%CE%B3%CE%B9%CF%83%CE%BC%CE%BF%CF%8D-%CE%B3%CE%B9%CE%B1-%CF%84%CE%BF-%CE%AD%CF%84%CE%BF%CF%82-2022.pdf" TargetMode="External"/><Relationship Id="rId2" Type="http://schemas.openxmlformats.org/officeDocument/2006/relationships/hyperlink" Target="https://www.yara.com/crop-nutrition/our-global-fertilizer-brands/yaramila/" TargetMode="External"/><Relationship Id="rId16" Type="http://schemas.openxmlformats.org/officeDocument/2006/relationships/hyperlink" Target="https://pubmed.ncbi.nlm.nih.gov/15196846/" TargetMode="External"/><Relationship Id="rId20" Type="http://schemas.openxmlformats.org/officeDocument/2006/relationships/hyperlink" Target="https://ypen.gov.gr/wp-content/uploads/2023/12/%CE%A3%CF%85%CE%BD%CF%84%CE%B5%CE%BB%CE%B5%CF%83%CF%84%CE%AD%CF%82-%CF%85%CF%80%CE%BF%CE%BB%CE%BF%CE%B3%CE%B9%CF%83%CE%BC%CE%BF%CF%8D-%CE%B3%CE%B9%CE%B1-%CF%84%CE%BF-%CE%AD%CF%84%CE%BF%CF%82-2022.pdf" TargetMode="External"/><Relationship Id="rId1" Type="http://schemas.openxmlformats.org/officeDocument/2006/relationships/hyperlink" Target="https://www.semanticscholar.org/paper/LCI-data-for-the-calculation-tool-Feedprint-for-gas-Marinussen-Kernebeek/367774ab3c17da2e86319aed0c934cd3a33f8117/figure/4" TargetMode="External"/><Relationship Id="rId6" Type="http://schemas.openxmlformats.org/officeDocument/2006/relationships/hyperlink" Target="https://www.semanticscholar.org/paper/LCI-data-for-the-calculation-tool-Feedprint-for-gas-Marinussen-Kernebeek/367774ab3c17da2e86319aed0c934cd3a33f8117/" TargetMode="External"/><Relationship Id="rId11" Type="http://schemas.openxmlformats.org/officeDocument/2006/relationships/hyperlink" Target="https://pubmed.ncbi.nlm.nih.gov/15196846/" TargetMode="External"/><Relationship Id="rId5" Type="http://schemas.openxmlformats.org/officeDocument/2006/relationships/hyperlink" Target="https://www.ipcc-nggip.iges.or.jp/public/2019rf/pdf/4_Volume4/19R_V4_Ch11_Soils_N2O_CO2.pdf" TargetMode="External"/><Relationship Id="rId15" Type="http://schemas.openxmlformats.org/officeDocument/2006/relationships/hyperlink" Target="https://pubmed.ncbi.nlm.nih.gov/15196846/" TargetMode="External"/><Relationship Id="rId10" Type="http://schemas.openxmlformats.org/officeDocument/2006/relationships/hyperlink" Target="https://pubmed.ncbi.nlm.nih.gov/15196846/" TargetMode="External"/><Relationship Id="rId19" Type="http://schemas.openxmlformats.org/officeDocument/2006/relationships/hyperlink" Target="https://ypen.gov.gr/wp-content/uploads/2023/12/%CE%A3%CF%85%CE%BD%CF%84%CE%B5%CE%BB%CE%B5%CF%83%CF%84%CE%AD%CF%82-%CF%85%CF%80%CE%BF%CE%BB%CE%BF%CE%B3%CE%B9%CF%83%CE%BC%CE%BF%CF%8D-%CE%B3%CE%B9%CE%B1-%CF%84%CE%BF-%CE%AD%CF%84%CE%BF%CF%82-2022.pdf" TargetMode="External"/><Relationship Id="rId4" Type="http://schemas.openxmlformats.org/officeDocument/2006/relationships/hyperlink" Target="https://www.semanticscholar.org/paper/LCI-data-for-the-calculation-tool-Feedprint-for-gas-Marinussen-Kernebeek/367774ab3c17da2e86319aed0c934cd3a33f8117/" TargetMode="External"/><Relationship Id="rId9" Type="http://schemas.openxmlformats.org/officeDocument/2006/relationships/hyperlink" Target="https://pubmed.ncbi.nlm.nih.gov/15196846/" TargetMode="External"/><Relationship Id="rId14" Type="http://schemas.openxmlformats.org/officeDocument/2006/relationships/hyperlink" Target="https://pubmed.ncbi.nlm.nih.gov/151968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B675-5F34-4A3C-87D5-8B49D1EFDB8E}">
  <sheetPr>
    <tabColor rgb="FFF5F17F"/>
  </sheetPr>
  <dimension ref="B2:B22"/>
  <sheetViews>
    <sheetView showGridLines="0" workbookViewId="0"/>
  </sheetViews>
  <sheetFormatPr defaultColWidth="8.75" defaultRowHeight="19.5"/>
  <cols>
    <col min="1" max="1" width="4.25" style="3" customWidth="1"/>
    <col min="2" max="2" width="155.875" style="4" customWidth="1"/>
    <col min="3" max="16384" width="8.75" style="3"/>
  </cols>
  <sheetData>
    <row r="2" spans="2:2">
      <c r="B2" s="25" t="s">
        <v>0</v>
      </c>
    </row>
    <row r="3" spans="2:2">
      <c r="B3" s="26"/>
    </row>
    <row r="4" spans="2:2" ht="36">
      <c r="B4" s="27" t="s">
        <v>1</v>
      </c>
    </row>
    <row r="5" spans="2:2">
      <c r="B5" s="27"/>
    </row>
    <row r="6" spans="2:2">
      <c r="B6" s="29" t="s">
        <v>2</v>
      </c>
    </row>
    <row r="7" spans="2:2">
      <c r="B7" s="27" t="s">
        <v>3</v>
      </c>
    </row>
    <row r="8" spans="2:2" ht="36">
      <c r="B8" s="28" t="s">
        <v>4</v>
      </c>
    </row>
    <row r="9" spans="2:2" ht="36">
      <c r="B9" s="28" t="s">
        <v>5</v>
      </c>
    </row>
    <row r="10" spans="2:2" ht="36">
      <c r="B10" s="28" t="s">
        <v>6</v>
      </c>
    </row>
    <row r="11" spans="2:2">
      <c r="B11" s="29" t="s">
        <v>7</v>
      </c>
    </row>
    <row r="12" spans="2:2" ht="36">
      <c r="B12" s="27" t="s">
        <v>8</v>
      </c>
    </row>
    <row r="13" spans="2:2" ht="36">
      <c r="B13" s="27" t="s">
        <v>9</v>
      </c>
    </row>
    <row r="14" spans="2:2">
      <c r="B14" s="29" t="s">
        <v>10</v>
      </c>
    </row>
    <row r="15" spans="2:2" ht="54">
      <c r="B15" s="27" t="s">
        <v>11</v>
      </c>
    </row>
    <row r="16" spans="2:2">
      <c r="B16" s="29" t="s">
        <v>12</v>
      </c>
    </row>
    <row r="17" spans="2:2">
      <c r="B17" s="27" t="s">
        <v>13</v>
      </c>
    </row>
    <row r="18" spans="2:2">
      <c r="B18" s="27" t="s">
        <v>14</v>
      </c>
    </row>
    <row r="19" spans="2:2">
      <c r="B19" s="27" t="s">
        <v>15</v>
      </c>
    </row>
    <row r="20" spans="2:2" ht="36">
      <c r="B20" s="27" t="s">
        <v>16</v>
      </c>
    </row>
    <row r="21" spans="2:2">
      <c r="B21" s="27"/>
    </row>
    <row r="22" spans="2:2" ht="54">
      <c r="B22" s="27" t="s">
        <v>17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F17E-21B6-4ED7-87B7-517ABDF7368D}">
  <dimension ref="A2:P94"/>
  <sheetViews>
    <sheetView showGridLines="0" workbookViewId="0"/>
  </sheetViews>
  <sheetFormatPr defaultRowHeight="19.5"/>
  <cols>
    <col min="1" max="2" width="8.625" style="3"/>
    <col min="3" max="3" width="21.5" style="3" customWidth="1"/>
    <col min="4" max="4" width="45.5" style="3" customWidth="1"/>
    <col min="5" max="5" width="15.875" style="3" customWidth="1"/>
    <col min="6" max="6" width="14.125" style="3" customWidth="1"/>
    <col min="7" max="7" width="20.625" style="3" customWidth="1"/>
    <col min="8" max="8" width="18.125" style="3" customWidth="1"/>
    <col min="9" max="9" width="19.125" style="3" customWidth="1"/>
    <col min="10" max="10" width="25.875" style="3" customWidth="1"/>
    <col min="11" max="11" width="22.125" style="3" customWidth="1"/>
    <col min="12" max="12" width="8.625" style="3"/>
  </cols>
  <sheetData>
    <row r="2" spans="3:10">
      <c r="D2" s="2" t="s">
        <v>526</v>
      </c>
    </row>
    <row r="3" spans="3:10">
      <c r="D3" s="45" t="s">
        <v>456</v>
      </c>
    </row>
    <row r="6" spans="3:10">
      <c r="D6" s="112" t="s">
        <v>407</v>
      </c>
      <c r="E6" s="108" t="s">
        <v>65</v>
      </c>
      <c r="F6" s="108" t="s">
        <v>58</v>
      </c>
      <c r="G6" s="108" t="s">
        <v>408</v>
      </c>
      <c r="H6" s="108" t="s">
        <v>409</v>
      </c>
      <c r="I6" s="108" t="s">
        <v>410</v>
      </c>
      <c r="J6" s="176" t="s">
        <v>527</v>
      </c>
    </row>
    <row r="7" spans="3:10">
      <c r="C7" s="254" t="s">
        <v>412</v>
      </c>
      <c r="D7" s="80" t="s">
        <v>413</v>
      </c>
      <c r="E7" s="113" t="s">
        <v>528</v>
      </c>
      <c r="F7" s="113" t="s">
        <v>415</v>
      </c>
      <c r="G7" s="113" t="s">
        <v>416</v>
      </c>
      <c r="H7" s="113"/>
      <c r="I7" s="114"/>
      <c r="J7" s="175"/>
    </row>
    <row r="8" spans="3:10">
      <c r="C8" s="255"/>
      <c r="D8" s="80" t="s">
        <v>417</v>
      </c>
      <c r="E8" s="113" t="s">
        <v>418</v>
      </c>
      <c r="F8" s="114"/>
      <c r="G8" s="114"/>
      <c r="H8" s="114"/>
      <c r="I8" s="114"/>
      <c r="J8" s="175"/>
    </row>
    <row r="9" spans="3:10">
      <c r="C9" s="255"/>
      <c r="D9" s="80" t="s">
        <v>26</v>
      </c>
      <c r="E9" s="113" t="s">
        <v>419</v>
      </c>
      <c r="F9" s="114"/>
      <c r="G9" s="114"/>
      <c r="H9" s="114"/>
      <c r="I9" s="113"/>
      <c r="J9" s="175"/>
    </row>
    <row r="10" spans="3:10">
      <c r="C10" s="255"/>
      <c r="D10" s="80" t="s">
        <v>420</v>
      </c>
      <c r="E10" s="113">
        <v>3.75</v>
      </c>
      <c r="F10" s="115" t="s">
        <v>421</v>
      </c>
      <c r="G10" s="9" t="s">
        <v>416</v>
      </c>
      <c r="H10" s="9"/>
      <c r="I10" s="114"/>
      <c r="J10" s="19">
        <f>IF(Calculator!D27&gt;0,Calculator!D27,E10*1000)</f>
        <v>3750</v>
      </c>
    </row>
    <row r="11" spans="3:10">
      <c r="C11" s="256"/>
      <c r="D11" s="80" t="s">
        <v>422</v>
      </c>
      <c r="E11" s="114"/>
      <c r="F11" s="116"/>
      <c r="G11" s="116"/>
      <c r="H11" s="116"/>
      <c r="I11" s="114"/>
      <c r="J11" s="175"/>
    </row>
    <row r="12" spans="3:10">
      <c r="J12" s="175"/>
    </row>
    <row r="13" spans="3:10" ht="29.1" customHeight="1">
      <c r="C13" s="254" t="s">
        <v>612</v>
      </c>
      <c r="D13" s="117" t="s">
        <v>251</v>
      </c>
      <c r="E13" s="9">
        <v>1</v>
      </c>
      <c r="F13" s="9" t="s">
        <v>423</v>
      </c>
      <c r="G13" s="9" t="s">
        <v>416</v>
      </c>
      <c r="H13" s="9">
        <v>275.47000000000003</v>
      </c>
      <c r="I13" s="114"/>
      <c r="J13" s="9">
        <f>IF(Calculator!D33&gt;0,Calculator!D33,H13)</f>
        <v>275.47000000000003</v>
      </c>
    </row>
    <row r="14" spans="3:10" ht="20.45" customHeight="1">
      <c r="C14" s="255"/>
      <c r="D14" s="117" t="s">
        <v>266</v>
      </c>
      <c r="E14" s="113">
        <v>146</v>
      </c>
      <c r="F14" s="113" t="s">
        <v>424</v>
      </c>
      <c r="G14" s="9" t="s">
        <v>416</v>
      </c>
      <c r="H14" s="9">
        <v>0.27539999999999998</v>
      </c>
      <c r="I14" s="114"/>
      <c r="J14" s="19">
        <f>IF(Calculator!D34&gt;0,Calculator!D34,H14)</f>
        <v>0.27539999999999998</v>
      </c>
    </row>
    <row r="15" spans="3:10" ht="14.45" customHeight="1">
      <c r="C15" s="255"/>
      <c r="D15" s="117" t="s">
        <v>250</v>
      </c>
      <c r="E15" s="113">
        <f>0.2*5.3</f>
        <v>1.06</v>
      </c>
      <c r="F15" s="113" t="s">
        <v>424</v>
      </c>
      <c r="G15" s="9" t="s">
        <v>416</v>
      </c>
      <c r="H15" s="9">
        <v>2</v>
      </c>
      <c r="I15" s="114"/>
      <c r="J15" s="19">
        <f>IF(Calculator!D32&gt;0,Calculator!D32,(SUM(H15:H16)))</f>
        <v>4</v>
      </c>
    </row>
    <row r="16" spans="3:10" ht="14.45" customHeight="1">
      <c r="C16" s="255"/>
      <c r="D16" s="117" t="s">
        <v>250</v>
      </c>
      <c r="E16" s="113">
        <f>0.2*5.3</f>
        <v>1.06</v>
      </c>
      <c r="F16" s="113" t="s">
        <v>424</v>
      </c>
      <c r="G16" s="9" t="s">
        <v>416</v>
      </c>
      <c r="H16" s="9">
        <v>2</v>
      </c>
      <c r="I16" s="9"/>
      <c r="J16" s="174"/>
    </row>
    <row r="17" spans="3:10" ht="14.45" customHeight="1">
      <c r="C17" s="256"/>
      <c r="D17" s="117" t="s">
        <v>92</v>
      </c>
      <c r="E17" s="113">
        <v>970</v>
      </c>
      <c r="F17" s="113" t="s">
        <v>424</v>
      </c>
      <c r="G17" s="9" t="s">
        <v>416</v>
      </c>
      <c r="H17" s="9">
        <v>1830</v>
      </c>
      <c r="I17" s="9"/>
      <c r="J17" s="183">
        <f>IF(Calculator!D37&gt;0,Calculator!D37,'DS_Scenario_2024(FPS)'!H17)</f>
        <v>1830</v>
      </c>
    </row>
    <row r="18" spans="3:10">
      <c r="J18" s="174"/>
    </row>
    <row r="19" spans="3:10" ht="42.6" customHeight="1">
      <c r="C19" s="257" t="s">
        <v>425</v>
      </c>
      <c r="D19" s="112" t="s">
        <v>429</v>
      </c>
      <c r="E19" s="9">
        <v>0.53</v>
      </c>
      <c r="F19" s="9" t="s">
        <v>430</v>
      </c>
      <c r="G19" s="9" t="s">
        <v>416</v>
      </c>
      <c r="H19" s="9">
        <v>2</v>
      </c>
      <c r="I19" s="9"/>
      <c r="J19" s="23">
        <f>IF(Calculator!D35&gt;0,Calculator!D35,H19)</f>
        <v>2</v>
      </c>
    </row>
    <row r="20" spans="3:10" ht="29.45" customHeight="1">
      <c r="C20" s="259"/>
      <c r="D20" s="112" t="s">
        <v>428</v>
      </c>
      <c r="E20" s="9">
        <v>1.06</v>
      </c>
      <c r="F20" s="9" t="s">
        <v>424</v>
      </c>
      <c r="G20" s="9" t="s">
        <v>416</v>
      </c>
      <c r="H20" s="9">
        <v>2</v>
      </c>
      <c r="I20" s="9"/>
      <c r="J20" s="23">
        <f>IF(Calculator!D36&gt;0,Calculator!D36,H20)</f>
        <v>2</v>
      </c>
    </row>
    <row r="22" spans="3:10" ht="17.100000000000001" customHeight="1">
      <c r="C22" s="254" t="s">
        <v>432</v>
      </c>
      <c r="D22" s="112" t="s">
        <v>433</v>
      </c>
      <c r="E22" s="119">
        <v>151.42857142857144</v>
      </c>
      <c r="F22" s="9" t="s">
        <v>434</v>
      </c>
      <c r="G22" s="113" t="s">
        <v>416</v>
      </c>
      <c r="H22" s="119">
        <v>285.71428571428572</v>
      </c>
      <c r="J22" s="72">
        <f>IF(Calculator!D28&gt;0,Calculator!D28,(SUM(H22:H30)))</f>
        <v>2103.7735849056608</v>
      </c>
    </row>
    <row r="23" spans="3:10" ht="17.100000000000001" customHeight="1">
      <c r="C23" s="255"/>
      <c r="D23" s="112" t="s">
        <v>433</v>
      </c>
      <c r="E23" s="119">
        <v>142.85714285714286</v>
      </c>
      <c r="F23" s="9" t="s">
        <v>434</v>
      </c>
      <c r="G23" s="113" t="s">
        <v>416</v>
      </c>
      <c r="H23" s="119">
        <v>269.54177897574124</v>
      </c>
      <c r="J23" s="174"/>
    </row>
    <row r="24" spans="3:10" ht="17.100000000000001" customHeight="1">
      <c r="C24" s="255"/>
      <c r="D24" s="112" t="s">
        <v>433</v>
      </c>
      <c r="E24" s="119">
        <v>102.14285714285715</v>
      </c>
      <c r="F24" s="9" t="s">
        <v>434</v>
      </c>
      <c r="G24" s="113" t="s">
        <v>416</v>
      </c>
      <c r="H24" s="119">
        <v>192.72237196765499</v>
      </c>
      <c r="J24" s="174"/>
    </row>
    <row r="25" spans="3:10" ht="17.100000000000001" customHeight="1">
      <c r="C25" s="255"/>
      <c r="D25" s="112" t="s">
        <v>433</v>
      </c>
      <c r="E25" s="119">
        <v>134.28571428571431</v>
      </c>
      <c r="F25" s="9" t="s">
        <v>434</v>
      </c>
      <c r="G25" s="113" t="s">
        <v>416</v>
      </c>
      <c r="H25" s="119">
        <v>253.36927223719678</v>
      </c>
      <c r="J25" s="174"/>
    </row>
    <row r="26" spans="3:10" ht="17.100000000000001" customHeight="1">
      <c r="C26" s="255"/>
      <c r="D26" s="112" t="s">
        <v>433</v>
      </c>
      <c r="E26" s="119">
        <v>144.28571428571431</v>
      </c>
      <c r="F26" s="9" t="s">
        <v>434</v>
      </c>
      <c r="G26" s="113" t="s">
        <v>416</v>
      </c>
      <c r="H26" s="119">
        <v>272.23719676549865</v>
      </c>
      <c r="J26" s="174"/>
    </row>
    <row r="27" spans="3:10" ht="17.100000000000001" customHeight="1">
      <c r="C27" s="255"/>
      <c r="D27" s="112" t="s">
        <v>433</v>
      </c>
      <c r="E27" s="119">
        <v>70</v>
      </c>
      <c r="F27" s="9" t="s">
        <v>434</v>
      </c>
      <c r="G27" s="113" t="s">
        <v>416</v>
      </c>
      <c r="H27" s="119">
        <v>132.0754716981132</v>
      </c>
      <c r="J27" s="174"/>
    </row>
    <row r="28" spans="3:10" ht="17.100000000000001" customHeight="1">
      <c r="C28" s="255"/>
      <c r="D28" s="112" t="s">
        <v>433</v>
      </c>
      <c r="E28" s="119">
        <v>90</v>
      </c>
      <c r="F28" s="9" t="s">
        <v>434</v>
      </c>
      <c r="G28" s="113" t="s">
        <v>416</v>
      </c>
      <c r="H28" s="119">
        <v>169.81132075471697</v>
      </c>
      <c r="J28" s="174"/>
    </row>
    <row r="29" spans="3:10" ht="17.100000000000001" customHeight="1">
      <c r="C29" s="255"/>
      <c r="D29" s="112" t="s">
        <v>433</v>
      </c>
      <c r="E29" s="119">
        <v>120.00000000000001</v>
      </c>
      <c r="F29" s="9" t="s">
        <v>434</v>
      </c>
      <c r="G29" s="113" t="s">
        <v>416</v>
      </c>
      <c r="H29" s="119">
        <v>226.41509433962267</v>
      </c>
      <c r="J29" s="174"/>
    </row>
    <row r="30" spans="3:10" ht="17.100000000000001" customHeight="1">
      <c r="C30" s="256"/>
      <c r="D30" s="112" t="s">
        <v>433</v>
      </c>
      <c r="E30" s="119">
        <v>160</v>
      </c>
      <c r="F30" s="9" t="s">
        <v>434</v>
      </c>
      <c r="G30" s="113" t="s">
        <v>416</v>
      </c>
      <c r="H30" s="119">
        <v>301.88679245283015</v>
      </c>
      <c r="J30" s="174"/>
    </row>
    <row r="31" spans="3:10" ht="17.100000000000001" customHeight="1">
      <c r="C31" s="177"/>
      <c r="D31" s="108" t="s">
        <v>431</v>
      </c>
      <c r="E31" s="178"/>
      <c r="F31" s="103"/>
      <c r="G31" s="179"/>
      <c r="H31" s="106" t="s">
        <v>529</v>
      </c>
      <c r="I31" s="23">
        <v>212</v>
      </c>
      <c r="J31" s="23">
        <f>IF(Calculator!D31&gt;0,Calculator!D31,SUM(I31:I39))</f>
        <v>1561</v>
      </c>
    </row>
    <row r="32" spans="3:10" ht="17.100000000000001" customHeight="1">
      <c r="C32" s="177"/>
      <c r="D32" s="108" t="s">
        <v>431</v>
      </c>
      <c r="E32" s="178"/>
      <c r="F32" s="103"/>
      <c r="G32" s="179"/>
      <c r="H32" s="106" t="s">
        <v>530</v>
      </c>
      <c r="I32" s="23">
        <v>200</v>
      </c>
      <c r="J32" s="174"/>
    </row>
    <row r="33" spans="3:10" ht="17.100000000000001" customHeight="1">
      <c r="C33" s="177"/>
      <c r="D33" s="108" t="s">
        <v>431</v>
      </c>
      <c r="E33" s="178"/>
      <c r="F33" s="103"/>
      <c r="G33" s="179"/>
      <c r="H33" s="106" t="s">
        <v>531</v>
      </c>
      <c r="I33" s="23">
        <v>143</v>
      </c>
      <c r="J33" s="174"/>
    </row>
    <row r="34" spans="3:10" ht="17.100000000000001" customHeight="1">
      <c r="C34" s="177"/>
      <c r="D34" s="108" t="s">
        <v>431</v>
      </c>
      <c r="E34" s="178"/>
      <c r="F34" s="103"/>
      <c r="G34" s="179"/>
      <c r="H34" s="106" t="s">
        <v>438</v>
      </c>
      <c r="I34" s="23">
        <v>188</v>
      </c>
      <c r="J34" s="174"/>
    </row>
    <row r="35" spans="3:10" ht="17.100000000000001" customHeight="1">
      <c r="C35" s="177"/>
      <c r="D35" s="108" t="s">
        <v>431</v>
      </c>
      <c r="E35" s="178"/>
      <c r="F35" s="103"/>
      <c r="G35" s="179"/>
      <c r="H35" s="106" t="s">
        <v>532</v>
      </c>
      <c r="I35" s="23">
        <v>202</v>
      </c>
      <c r="J35" s="174"/>
    </row>
    <row r="36" spans="3:10" ht="17.100000000000001" customHeight="1">
      <c r="C36" s="177"/>
      <c r="D36" s="108" t="s">
        <v>431</v>
      </c>
      <c r="E36" s="178"/>
      <c r="F36" s="103"/>
      <c r="G36" s="179"/>
      <c r="H36" s="106" t="s">
        <v>533</v>
      </c>
      <c r="I36" s="23">
        <v>98</v>
      </c>
      <c r="J36" s="174"/>
    </row>
    <row r="37" spans="3:10" ht="17.100000000000001" customHeight="1">
      <c r="C37" s="177"/>
      <c r="D37" s="108" t="s">
        <v>431</v>
      </c>
      <c r="E37" s="178"/>
      <c r="F37" s="103"/>
      <c r="G37" s="179"/>
      <c r="H37" s="106" t="s">
        <v>534</v>
      </c>
      <c r="I37" s="23">
        <v>126</v>
      </c>
      <c r="J37" s="174"/>
    </row>
    <row r="38" spans="3:10" ht="17.100000000000001" customHeight="1">
      <c r="C38" s="177"/>
      <c r="D38" s="108" t="s">
        <v>431</v>
      </c>
      <c r="E38" s="178"/>
      <c r="F38" s="103"/>
      <c r="G38" s="179"/>
      <c r="H38" s="106" t="s">
        <v>535</v>
      </c>
      <c r="I38" s="23">
        <v>168</v>
      </c>
      <c r="J38" s="174"/>
    </row>
    <row r="39" spans="3:10" ht="17.100000000000001" customHeight="1">
      <c r="C39" s="177"/>
      <c r="D39" s="108" t="s">
        <v>431</v>
      </c>
      <c r="E39" s="178"/>
      <c r="F39" s="103"/>
      <c r="G39" s="179"/>
      <c r="H39" s="103" t="s">
        <v>536</v>
      </c>
      <c r="I39" s="23">
        <v>224</v>
      </c>
      <c r="J39" s="174"/>
    </row>
    <row r="40" spans="3:10">
      <c r="D40" s="46"/>
      <c r="E40" s="46"/>
      <c r="F40" s="46"/>
      <c r="G40" s="46"/>
      <c r="H40" s="46"/>
      <c r="I40" s="46"/>
    </row>
    <row r="41" spans="3:10" ht="14.45" customHeight="1">
      <c r="C41" s="254" t="s">
        <v>442</v>
      </c>
      <c r="D41" s="112" t="s">
        <v>537</v>
      </c>
      <c r="E41" s="9">
        <v>20</v>
      </c>
      <c r="F41" s="9" t="s">
        <v>444</v>
      </c>
      <c r="G41" s="9" t="s">
        <v>416</v>
      </c>
      <c r="H41" s="10">
        <f>E41/0.53</f>
        <v>37.735849056603769</v>
      </c>
      <c r="I41" s="9" t="s">
        <v>382</v>
      </c>
      <c r="J41" s="72">
        <f>IF(Calculator!D30&gt;0,Calculator!D30,SUM(H41:H42,H44:H46))</f>
        <v>83.207547169811306</v>
      </c>
    </row>
    <row r="42" spans="3:10" ht="14.45" customHeight="1">
      <c r="C42" s="255"/>
      <c r="D42" s="112" t="s">
        <v>446</v>
      </c>
      <c r="E42" s="9">
        <v>8</v>
      </c>
      <c r="F42" s="9" t="s">
        <v>444</v>
      </c>
      <c r="G42" s="9" t="s">
        <v>416</v>
      </c>
      <c r="H42" s="10">
        <v>15.094339622641508</v>
      </c>
      <c r="I42" s="9" t="s">
        <v>382</v>
      </c>
      <c r="J42" s="180"/>
    </row>
    <row r="43" spans="3:10" ht="14.45" customHeight="1">
      <c r="C43" s="255"/>
      <c r="D43" s="112" t="s">
        <v>447</v>
      </c>
      <c r="E43" s="9">
        <v>60</v>
      </c>
      <c r="F43" s="9" t="s">
        <v>444</v>
      </c>
      <c r="G43" s="9" t="s">
        <v>416</v>
      </c>
      <c r="H43" s="10">
        <v>113.20754716981132</v>
      </c>
      <c r="I43" s="9" t="s">
        <v>448</v>
      </c>
      <c r="J43" s="72">
        <f>IF(Calculator!D29&gt;0,Calculator!D29,SUM(H43,H47))</f>
        <v>160.37754716981132</v>
      </c>
    </row>
    <row r="44" spans="3:10" ht="14.45" customHeight="1">
      <c r="C44" s="255"/>
      <c r="D44" s="112" t="s">
        <v>605</v>
      </c>
      <c r="E44" s="9">
        <v>5.55</v>
      </c>
      <c r="F44" s="9" t="s">
        <v>444</v>
      </c>
      <c r="G44" s="9" t="s">
        <v>416</v>
      </c>
      <c r="H44" s="10">
        <v>10.471698113207546</v>
      </c>
      <c r="I44" s="9" t="s">
        <v>382</v>
      </c>
      <c r="J44" s="180"/>
    </row>
    <row r="45" spans="3:10" ht="14.45" customHeight="1">
      <c r="C45" s="255"/>
      <c r="D45" s="112" t="s">
        <v>449</v>
      </c>
      <c r="E45" s="9">
        <v>5.55</v>
      </c>
      <c r="F45" s="9" t="s">
        <v>444</v>
      </c>
      <c r="G45" s="9" t="s">
        <v>416</v>
      </c>
      <c r="H45" s="10">
        <v>10.471698113207546</v>
      </c>
      <c r="I45" s="9" t="s">
        <v>382</v>
      </c>
      <c r="J45" s="180"/>
    </row>
    <row r="46" spans="3:10" ht="14.45" customHeight="1">
      <c r="C46" s="255"/>
      <c r="D46" s="112" t="s">
        <v>450</v>
      </c>
      <c r="E46" s="9">
        <v>5</v>
      </c>
      <c r="F46" s="9" t="s">
        <v>444</v>
      </c>
      <c r="G46" s="9" t="s">
        <v>416</v>
      </c>
      <c r="H46" s="10">
        <v>9.4339622641509422</v>
      </c>
      <c r="I46" s="9" t="s">
        <v>382</v>
      </c>
      <c r="J46" s="180"/>
    </row>
    <row r="47" spans="3:10" ht="14.45" customHeight="1">
      <c r="C47" s="256"/>
      <c r="D47" s="112" t="s">
        <v>452</v>
      </c>
      <c r="E47" s="9">
        <v>24</v>
      </c>
      <c r="F47" s="9" t="s">
        <v>444</v>
      </c>
      <c r="G47" s="9" t="s">
        <v>416</v>
      </c>
      <c r="H47" s="10">
        <v>47.17</v>
      </c>
      <c r="I47" s="9" t="s">
        <v>448</v>
      </c>
      <c r="J47" s="180"/>
    </row>
    <row r="49" spans="3:10" ht="14.1" customHeight="1">
      <c r="C49" s="113"/>
      <c r="D49" s="112" t="s">
        <v>453</v>
      </c>
      <c r="E49" s="113">
        <v>22</v>
      </c>
      <c r="F49" s="113" t="s">
        <v>454</v>
      </c>
      <c r="G49" s="9" t="s">
        <v>416</v>
      </c>
      <c r="H49" s="114"/>
      <c r="I49" s="9" t="s">
        <v>538</v>
      </c>
    </row>
    <row r="54" spans="3:10">
      <c r="D54" s="45" t="s">
        <v>456</v>
      </c>
      <c r="E54" s="120"/>
      <c r="F54" s="121"/>
      <c r="G54" s="121"/>
      <c r="H54" s="121"/>
      <c r="I54" s="120"/>
    </row>
    <row r="55" spans="3:10">
      <c r="D55" s="2"/>
      <c r="E55" s="108" t="s">
        <v>65</v>
      </c>
      <c r="F55" s="108" t="s">
        <v>58</v>
      </c>
      <c r="G55" s="108" t="s">
        <v>408</v>
      </c>
      <c r="H55" s="122" t="s">
        <v>410</v>
      </c>
      <c r="I55" s="123" t="s">
        <v>457</v>
      </c>
      <c r="J55" s="123" t="s">
        <v>458</v>
      </c>
    </row>
    <row r="56" spans="3:10" ht="30.6" customHeight="1">
      <c r="C56" s="254" t="s">
        <v>613</v>
      </c>
      <c r="D56" s="14" t="s">
        <v>481</v>
      </c>
      <c r="E56" s="124">
        <v>550.9</v>
      </c>
      <c r="F56" s="125" t="s">
        <v>460</v>
      </c>
      <c r="G56" s="126" t="s">
        <v>416</v>
      </c>
      <c r="H56" s="126" t="s">
        <v>461</v>
      </c>
      <c r="I56" s="127"/>
      <c r="J56" s="127"/>
    </row>
    <row r="57" spans="3:10" ht="29.1" customHeight="1">
      <c r="C57" s="255"/>
      <c r="D57" s="14" t="s">
        <v>610</v>
      </c>
      <c r="E57" s="124">
        <v>3.2999999999999995E-3</v>
      </c>
      <c r="F57" s="125" t="s">
        <v>462</v>
      </c>
      <c r="G57" s="165" t="s">
        <v>401</v>
      </c>
      <c r="H57" s="126" t="s">
        <v>477</v>
      </c>
      <c r="I57" s="129" t="s">
        <v>465</v>
      </c>
      <c r="J57" s="127">
        <f>61.32*0.01*44/28/292</f>
        <v>3.2999999999999995E-3</v>
      </c>
    </row>
    <row r="58" spans="3:10" ht="33.6" customHeight="1">
      <c r="C58" s="255"/>
      <c r="D58" s="117" t="s">
        <v>466</v>
      </c>
      <c r="E58" s="124">
        <v>0</v>
      </c>
      <c r="F58" s="125" t="s">
        <v>467</v>
      </c>
      <c r="G58" s="130" t="s">
        <v>483</v>
      </c>
      <c r="H58" s="126" t="s">
        <v>469</v>
      </c>
      <c r="I58" s="129" t="s">
        <v>470</v>
      </c>
      <c r="J58" s="127"/>
    </row>
    <row r="59" spans="3:10" ht="33.6" customHeight="1">
      <c r="C59" s="256"/>
      <c r="D59" s="117" t="s">
        <v>606</v>
      </c>
      <c r="E59" s="131">
        <v>1.0621849315068495</v>
      </c>
      <c r="F59" s="125" t="s">
        <v>471</v>
      </c>
      <c r="G59" s="130" t="s">
        <v>472</v>
      </c>
      <c r="H59" s="126" t="s">
        <v>473</v>
      </c>
      <c r="I59" s="129" t="s">
        <v>474</v>
      </c>
      <c r="J59" s="127">
        <f>344.6184*0.9/292</f>
        <v>1.0621800000000001</v>
      </c>
    </row>
    <row r="60" spans="3:10">
      <c r="D60" s="132"/>
      <c r="E60" s="133"/>
      <c r="F60" s="133"/>
      <c r="G60" s="133"/>
      <c r="H60" s="133"/>
    </row>
    <row r="61" spans="3:10" ht="23.45" customHeight="1">
      <c r="C61" s="254" t="s">
        <v>608</v>
      </c>
      <c r="D61" s="14" t="s">
        <v>539</v>
      </c>
      <c r="E61" s="124">
        <v>281.10000000000002</v>
      </c>
      <c r="F61" s="125" t="s">
        <v>460</v>
      </c>
      <c r="G61" s="126" t="s">
        <v>416</v>
      </c>
      <c r="H61" s="126" t="s">
        <v>482</v>
      </c>
      <c r="I61" s="127"/>
      <c r="J61" s="127"/>
    </row>
    <row r="62" spans="3:10" ht="44.1" customHeight="1">
      <c r="C62" s="255"/>
      <c r="D62" s="14" t="s">
        <v>615</v>
      </c>
      <c r="E62" s="124">
        <v>7.7000000000000007E-4</v>
      </c>
      <c r="F62" s="125" t="s">
        <v>462</v>
      </c>
      <c r="G62" s="134" t="s">
        <v>401</v>
      </c>
      <c r="H62" s="126" t="s">
        <v>477</v>
      </c>
      <c r="I62" s="129" t="s">
        <v>465</v>
      </c>
      <c r="J62" s="127">
        <f>7.154*0.01*44/28/146</f>
        <v>7.7000000000000007E-4</v>
      </c>
    </row>
    <row r="63" spans="3:10" ht="33.6" customHeight="1">
      <c r="C63" s="255"/>
      <c r="D63" s="117" t="s">
        <v>466</v>
      </c>
      <c r="E63" s="124">
        <v>0</v>
      </c>
      <c r="F63" s="125" t="s">
        <v>467</v>
      </c>
      <c r="G63" s="128" t="s">
        <v>540</v>
      </c>
      <c r="H63" s="126" t="s">
        <v>469</v>
      </c>
      <c r="I63" s="129" t="s">
        <v>470</v>
      </c>
      <c r="J63" s="127"/>
    </row>
    <row r="64" spans="3:10" ht="33.6" customHeight="1">
      <c r="C64" s="256"/>
      <c r="D64" s="117" t="s">
        <v>606</v>
      </c>
      <c r="E64" s="124">
        <v>0.3</v>
      </c>
      <c r="F64" s="125" t="s">
        <v>471</v>
      </c>
      <c r="G64" s="135" t="s">
        <v>472</v>
      </c>
      <c r="H64" s="126" t="s">
        <v>541</v>
      </c>
      <c r="I64" s="129" t="s">
        <v>474</v>
      </c>
      <c r="J64" s="127">
        <f>48.2165*0.9/146</f>
        <v>0.29722500000000002</v>
      </c>
    </row>
    <row r="65" spans="3:10">
      <c r="D65" s="132"/>
      <c r="E65" s="133"/>
      <c r="F65" s="133"/>
      <c r="G65" s="133"/>
      <c r="H65" s="133"/>
    </row>
    <row r="66" spans="3:10" ht="33" customHeight="1">
      <c r="C66" s="254" t="s">
        <v>607</v>
      </c>
      <c r="D66" s="14" t="s">
        <v>475</v>
      </c>
      <c r="E66" s="124">
        <v>4</v>
      </c>
      <c r="F66" s="125" t="s">
        <v>460</v>
      </c>
      <c r="G66" s="126" t="s">
        <v>416</v>
      </c>
      <c r="H66" s="126" t="s">
        <v>542</v>
      </c>
      <c r="I66" s="127"/>
      <c r="J66" s="127"/>
    </row>
    <row r="67" spans="3:10" ht="97.5">
      <c r="C67" s="255"/>
      <c r="D67" s="14" t="s">
        <v>609</v>
      </c>
      <c r="E67" s="124">
        <v>3.3300000000000001E-3</v>
      </c>
      <c r="F67" s="125" t="s">
        <v>462</v>
      </c>
      <c r="G67" s="134" t="s">
        <v>401</v>
      </c>
      <c r="H67" s="126" t="s">
        <v>477</v>
      </c>
      <c r="I67" s="129" t="s">
        <v>465</v>
      </c>
      <c r="J67" s="127">
        <f>0.212*0.01*44/28/1.06</f>
        <v>3.142857142857143E-3</v>
      </c>
    </row>
    <row r="68" spans="3:10" ht="31.35" customHeight="1">
      <c r="C68" s="255"/>
      <c r="D68" s="117" t="s">
        <v>466</v>
      </c>
      <c r="E68" s="124">
        <v>0.126</v>
      </c>
      <c r="F68" s="125" t="s">
        <v>467</v>
      </c>
      <c r="G68" s="136" t="s">
        <v>478</v>
      </c>
      <c r="H68" s="137" t="s">
        <v>479</v>
      </c>
      <c r="I68" s="129" t="s">
        <v>470</v>
      </c>
      <c r="J68" s="127">
        <f>0.2*0.088* 1/0.47*3.75*0.9</f>
        <v>0.12638297872340426</v>
      </c>
    </row>
    <row r="69" spans="3:10" ht="41.45" customHeight="1">
      <c r="C69" s="256"/>
      <c r="D69" s="117" t="s">
        <v>606</v>
      </c>
      <c r="E69" s="124">
        <v>1.1357999999999999</v>
      </c>
      <c r="F69" s="125" t="s">
        <v>471</v>
      </c>
      <c r="G69" s="135" t="s">
        <v>472</v>
      </c>
      <c r="H69" s="126" t="s">
        <v>480</v>
      </c>
      <c r="I69" s="129" t="s">
        <v>474</v>
      </c>
      <c r="J69" s="127">
        <f>1.33772*0.9/1.06</f>
        <v>1.1357999999999999</v>
      </c>
    </row>
    <row r="70" spans="3:10">
      <c r="D70" s="138"/>
      <c r="E70" s="133"/>
      <c r="F70" s="133"/>
      <c r="G70" s="133"/>
      <c r="H70" s="133"/>
      <c r="I70" s="133"/>
      <c r="J70" s="133"/>
    </row>
    <row r="71" spans="3:10">
      <c r="C71" s="23"/>
      <c r="D71" s="14"/>
      <c r="E71" s="108" t="s">
        <v>65</v>
      </c>
      <c r="F71" s="108" t="s">
        <v>58</v>
      </c>
      <c r="G71" s="108" t="s">
        <v>408</v>
      </c>
      <c r="H71" s="108" t="s">
        <v>410</v>
      </c>
      <c r="I71" s="123" t="s">
        <v>457</v>
      </c>
      <c r="J71" s="108" t="s">
        <v>458</v>
      </c>
    </row>
    <row r="72" spans="3:10">
      <c r="D72" s="26"/>
      <c r="E72" s="120"/>
      <c r="F72" s="121"/>
      <c r="G72" s="121"/>
      <c r="H72" s="121"/>
      <c r="I72" s="120"/>
      <c r="J72" s="120"/>
    </row>
    <row r="73" spans="3:10" ht="40.35" customHeight="1">
      <c r="C73" s="248" t="s">
        <v>484</v>
      </c>
      <c r="D73" s="14" t="s">
        <v>500</v>
      </c>
      <c r="E73" s="9">
        <v>2</v>
      </c>
      <c r="F73" s="125" t="s">
        <v>460</v>
      </c>
      <c r="G73" s="125" t="s">
        <v>486</v>
      </c>
      <c r="H73" s="125" t="s">
        <v>501</v>
      </c>
      <c r="I73" s="23"/>
      <c r="J73" s="23"/>
    </row>
    <row r="74" spans="3:10" ht="33" customHeight="1">
      <c r="C74" s="249"/>
      <c r="D74" s="14" t="s">
        <v>488</v>
      </c>
      <c r="E74" s="9">
        <v>0</v>
      </c>
      <c r="F74" s="125" t="s">
        <v>489</v>
      </c>
      <c r="G74" s="139" t="s">
        <v>490</v>
      </c>
      <c r="H74" s="126" t="s">
        <v>491</v>
      </c>
      <c r="I74" s="23"/>
      <c r="J74" s="23"/>
    </row>
    <row r="75" spans="3:10" ht="44.45" customHeight="1">
      <c r="C75" s="250"/>
      <c r="D75" s="14" t="s">
        <v>492</v>
      </c>
      <c r="E75" s="9">
        <v>4.29</v>
      </c>
      <c r="F75" s="125" t="s">
        <v>493</v>
      </c>
      <c r="G75" s="166" t="s">
        <v>490</v>
      </c>
      <c r="H75" s="126" t="s">
        <v>494</v>
      </c>
      <c r="I75" s="140" t="s">
        <v>495</v>
      </c>
      <c r="J75" s="9">
        <f>0.3*14.3</f>
        <v>4.29</v>
      </c>
    </row>
    <row r="76" spans="3:10">
      <c r="D76" s="14"/>
      <c r="E76" s="120"/>
      <c r="F76" s="120"/>
      <c r="G76" s="120"/>
      <c r="H76" s="120"/>
      <c r="I76" s="120"/>
      <c r="J76" s="120"/>
    </row>
    <row r="77" spans="3:10" ht="43.35" customHeight="1">
      <c r="C77" s="248" t="s">
        <v>496</v>
      </c>
      <c r="D77" s="14" t="s">
        <v>503</v>
      </c>
      <c r="E77" s="9">
        <v>2</v>
      </c>
      <c r="F77" s="125" t="s">
        <v>504</v>
      </c>
      <c r="G77" s="125" t="s">
        <v>486</v>
      </c>
      <c r="H77" s="125" t="s">
        <v>505</v>
      </c>
      <c r="I77" s="23"/>
      <c r="J77" s="23"/>
    </row>
    <row r="78" spans="3:10" ht="42" customHeight="1">
      <c r="C78" s="249"/>
      <c r="D78" s="14" t="s">
        <v>488</v>
      </c>
      <c r="E78" s="9">
        <v>0</v>
      </c>
      <c r="F78" s="125" t="s">
        <v>489</v>
      </c>
      <c r="G78" s="139" t="s">
        <v>490</v>
      </c>
      <c r="H78" s="126" t="s">
        <v>491</v>
      </c>
      <c r="I78" s="23"/>
      <c r="J78" s="23"/>
    </row>
    <row r="79" spans="3:10" ht="51" customHeight="1">
      <c r="C79" s="250"/>
      <c r="D79" s="14" t="s">
        <v>492</v>
      </c>
      <c r="E79" s="9">
        <v>4.7000000000000002E-3</v>
      </c>
      <c r="F79" s="125" t="s">
        <v>493</v>
      </c>
      <c r="G79" s="139" t="s">
        <v>490</v>
      </c>
      <c r="H79" s="126" t="s">
        <v>494</v>
      </c>
      <c r="I79" s="140" t="s">
        <v>495</v>
      </c>
      <c r="J79" s="9">
        <f>0.3*18.7</f>
        <v>5.6099999999999994</v>
      </c>
    </row>
    <row r="80" spans="3:10">
      <c r="C80" s="120"/>
      <c r="D80" s="120"/>
      <c r="E80" s="120"/>
      <c r="F80" s="120"/>
      <c r="G80" s="120"/>
      <c r="H80" s="120"/>
      <c r="I80" s="120"/>
      <c r="J80" s="120"/>
    </row>
    <row r="81" spans="3:16">
      <c r="C81" s="23"/>
      <c r="D81" s="14"/>
      <c r="E81" s="108" t="s">
        <v>65</v>
      </c>
      <c r="F81" s="108" t="s">
        <v>58</v>
      </c>
      <c r="G81" s="108" t="s">
        <v>408</v>
      </c>
      <c r="H81" s="108" t="s">
        <v>410</v>
      </c>
      <c r="I81" s="123" t="s">
        <v>457</v>
      </c>
      <c r="J81" s="108" t="s">
        <v>458</v>
      </c>
    </row>
    <row r="82" spans="3:16" ht="39" customHeight="1">
      <c r="C82" s="260" t="s">
        <v>506</v>
      </c>
      <c r="D82" s="14" t="s">
        <v>507</v>
      </c>
      <c r="E82" s="9">
        <v>2103.77</v>
      </c>
      <c r="F82" s="125" t="s">
        <v>508</v>
      </c>
      <c r="G82" s="125" t="s">
        <v>416</v>
      </c>
      <c r="H82" s="125" t="s">
        <v>543</v>
      </c>
      <c r="I82" s="114"/>
      <c r="J82" s="114"/>
      <c r="P82" s="60"/>
    </row>
    <row r="83" spans="3:16" ht="31.35" customHeight="1">
      <c r="C83" s="261"/>
      <c r="D83" s="14" t="s">
        <v>510</v>
      </c>
      <c r="E83" s="9">
        <v>1561</v>
      </c>
      <c r="F83" s="125" t="s">
        <v>511</v>
      </c>
      <c r="G83" s="125" t="s">
        <v>416</v>
      </c>
      <c r="H83" s="135"/>
      <c r="I83" s="114"/>
      <c r="J83" s="114"/>
      <c r="P83" s="60"/>
    </row>
    <row r="84" spans="3:16" ht="56.45" customHeight="1">
      <c r="C84" s="262"/>
      <c r="D84" s="14" t="s">
        <v>512</v>
      </c>
      <c r="E84" s="9">
        <v>725.25</v>
      </c>
      <c r="F84" s="125" t="s">
        <v>513</v>
      </c>
      <c r="G84" s="135" t="s">
        <v>544</v>
      </c>
      <c r="H84" s="127" t="s">
        <v>545</v>
      </c>
      <c r="I84" s="114"/>
      <c r="J84" s="114"/>
      <c r="P84" s="60"/>
    </row>
    <row r="85" spans="3:16">
      <c r="P85" s="60"/>
    </row>
    <row r="86" spans="3:16">
      <c r="C86" s="248" t="s">
        <v>516</v>
      </c>
      <c r="D86" s="14"/>
      <c r="E86" s="108" t="s">
        <v>65</v>
      </c>
      <c r="F86" s="108" t="s">
        <v>58</v>
      </c>
      <c r="G86" s="108" t="s">
        <v>408</v>
      </c>
      <c r="H86" s="108" t="s">
        <v>410</v>
      </c>
      <c r="I86" s="123" t="s">
        <v>457</v>
      </c>
      <c r="J86" s="108" t="s">
        <v>458</v>
      </c>
      <c r="P86" s="60"/>
    </row>
    <row r="87" spans="3:16" ht="26.1" customHeight="1">
      <c r="C87" s="249"/>
      <c r="D87" s="14" t="s">
        <v>453</v>
      </c>
      <c r="E87" s="9">
        <v>22</v>
      </c>
      <c r="F87" s="9" t="s">
        <v>454</v>
      </c>
      <c r="G87" s="115" t="s">
        <v>416</v>
      </c>
      <c r="H87" s="115" t="s">
        <v>546</v>
      </c>
      <c r="I87" s="114"/>
      <c r="J87" s="114"/>
      <c r="P87" s="60"/>
    </row>
    <row r="88" spans="3:16" ht="29.45" customHeight="1">
      <c r="C88" s="249"/>
      <c r="D88" s="14" t="s">
        <v>518</v>
      </c>
      <c r="E88" s="9">
        <v>75.92</v>
      </c>
      <c r="F88" s="9" t="s">
        <v>513</v>
      </c>
      <c r="G88" s="134" t="s">
        <v>547</v>
      </c>
      <c r="H88" s="127" t="s">
        <v>545</v>
      </c>
      <c r="I88" s="114"/>
      <c r="J88" s="114"/>
      <c r="P88" s="60"/>
    </row>
    <row r="89" spans="3:16" ht="26.45" customHeight="1">
      <c r="C89" s="249"/>
      <c r="D89" s="14" t="s">
        <v>519</v>
      </c>
      <c r="E89" s="9">
        <v>113.21</v>
      </c>
      <c r="F89" s="125" t="s">
        <v>520</v>
      </c>
      <c r="G89" s="125" t="s">
        <v>416</v>
      </c>
      <c r="H89" s="125" t="s">
        <v>548</v>
      </c>
      <c r="I89" s="114"/>
      <c r="J89" s="114"/>
      <c r="P89" s="60"/>
    </row>
    <row r="90" spans="3:16" ht="29.1" customHeight="1">
      <c r="C90" s="249"/>
      <c r="D90" s="14" t="s">
        <v>522</v>
      </c>
      <c r="E90" s="9">
        <v>194.05</v>
      </c>
      <c r="F90" s="9" t="s">
        <v>513</v>
      </c>
      <c r="G90" s="134" t="s">
        <v>547</v>
      </c>
      <c r="H90" s="127" t="s">
        <v>545</v>
      </c>
      <c r="I90" s="114"/>
      <c r="J90" s="114"/>
      <c r="P90" s="60"/>
    </row>
    <row r="91" spans="3:16" ht="22.35" customHeight="1">
      <c r="C91" s="249"/>
      <c r="D91" s="14" t="s">
        <v>523</v>
      </c>
      <c r="E91" s="9">
        <v>83.21</v>
      </c>
      <c r="F91" s="125" t="s">
        <v>520</v>
      </c>
      <c r="G91" s="125" t="s">
        <v>416</v>
      </c>
      <c r="H91" s="115" t="s">
        <v>524</v>
      </c>
      <c r="I91" s="114"/>
      <c r="J91" s="114"/>
    </row>
    <row r="92" spans="3:16" ht="24" customHeight="1">
      <c r="C92" s="250"/>
      <c r="D92" s="14" t="s">
        <v>525</v>
      </c>
      <c r="E92" s="9">
        <v>157.68</v>
      </c>
      <c r="F92" s="9" t="s">
        <v>513</v>
      </c>
      <c r="G92" s="134" t="s">
        <v>547</v>
      </c>
      <c r="H92" s="127" t="s">
        <v>545</v>
      </c>
      <c r="I92" s="114"/>
      <c r="J92" s="114"/>
    </row>
    <row r="93" spans="3:16">
      <c r="D93" s="120"/>
      <c r="E93" s="120"/>
      <c r="F93" s="120"/>
      <c r="G93" s="120"/>
      <c r="H93" s="120"/>
    </row>
    <row r="94" spans="3:16">
      <c r="D94" s="120"/>
      <c r="E94" s="120"/>
      <c r="F94" s="120"/>
      <c r="G94" s="120"/>
      <c r="H94" s="120"/>
    </row>
  </sheetData>
  <mergeCells count="12">
    <mergeCell ref="C86:C92"/>
    <mergeCell ref="C61:C64"/>
    <mergeCell ref="C66:C69"/>
    <mergeCell ref="C73:C75"/>
    <mergeCell ref="C77:C79"/>
    <mergeCell ref="C82:C84"/>
    <mergeCell ref="C56:C59"/>
    <mergeCell ref="C7:C11"/>
    <mergeCell ref="C13:C17"/>
    <mergeCell ref="C19:C20"/>
    <mergeCell ref="C22:C30"/>
    <mergeCell ref="C41:C47"/>
  </mergeCells>
  <hyperlinks>
    <hyperlink ref="G62" r:id="rId1" xr:uid="{CFF80EEB-7BCC-46F4-A866-E0605BD9F8E6}"/>
    <hyperlink ref="G64" r:id="rId2" xr:uid="{8EE9F0DA-4B71-4E22-8013-76A3D4CFD591}"/>
    <hyperlink ref="G74" r:id="rId3" xr:uid="{E6664045-D540-4517-83FE-46E140D06286}"/>
    <hyperlink ref="G75" r:id="rId4" xr:uid="{3DC85EE2-3E71-41A1-80D3-A3C2932829AD}"/>
    <hyperlink ref="G78" r:id="rId5" xr:uid="{7D18C7FA-1811-4658-A7E6-275885E12EC3}"/>
    <hyperlink ref="G79" r:id="rId6" xr:uid="{9BB9378C-5814-4157-94CE-0CE91828A0FE}"/>
    <hyperlink ref="G84" r:id="rId7" xr:uid="{BB171F78-9916-4F70-ADDF-97B89D6E0137}"/>
    <hyperlink ref="G88" r:id="rId8" xr:uid="{90390BCE-83DE-4682-A70E-42F1A9C140F9}"/>
    <hyperlink ref="G90" r:id="rId9" xr:uid="{DED9B76D-F56E-4DBC-8AA5-BD12B43EC16A}"/>
    <hyperlink ref="G92" r:id="rId10" xr:uid="{EE3D5D96-36AF-4701-8B74-0E5DF071E187}"/>
    <hyperlink ref="G58" r:id="rId11" xr:uid="{199CA416-6FB5-48BE-B444-387499D5E4B3}"/>
    <hyperlink ref="G59" r:id="rId12" xr:uid="{EA883047-6C9B-4990-83E1-36ACC0B3D234}"/>
    <hyperlink ref="G63" r:id="rId13" xr:uid="{D7A55A6A-B966-48FE-9013-EDCC2F95177D}"/>
    <hyperlink ref="H68" r:id="rId14" display="https://www.semanticscholar.org/paper/LCI-data-for-the-calculation-tool-Feedprint-for-gas-Marinussen-Kernebeek/367774ab3c17da2e86319aed0c934cd3a33f8117/figure/4" xr:uid="{6B4CCA05-A13B-4270-BC14-5DEBBBEDC5DD}"/>
    <hyperlink ref="G67" r:id="rId15" xr:uid="{7BFFB4EA-1F29-4F1E-986A-F2C951763937}"/>
    <hyperlink ref="G69" r:id="rId16" xr:uid="{02B11F1E-877F-45EB-A134-694B15585BAF}"/>
    <hyperlink ref="G57" r:id="rId17" xr:uid="{A70437C2-11E5-4E1A-B37A-443AA42584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27FD3-668E-48B1-A7D3-0ED4FC912915}">
  <sheetPr>
    <tabColor rgb="FF366340"/>
  </sheetPr>
  <dimension ref="B2:G49"/>
  <sheetViews>
    <sheetView showGridLines="0" topLeftCell="A27" zoomScaleNormal="100" workbookViewId="0">
      <selection activeCell="C43" sqref="C43"/>
    </sheetView>
  </sheetViews>
  <sheetFormatPr defaultColWidth="8.75" defaultRowHeight="24.75"/>
  <cols>
    <col min="1" max="1" width="8" style="39" customWidth="1"/>
    <col min="2" max="2" width="74.875" style="39" customWidth="1"/>
    <col min="3" max="3" width="23.375" style="39" customWidth="1"/>
    <col min="4" max="4" width="27.125" style="39" customWidth="1"/>
    <col min="5" max="5" width="38.75" style="39" customWidth="1"/>
    <col min="6" max="7" width="8.75" style="39" customWidth="1"/>
    <col min="8" max="8" width="62.875" style="39" customWidth="1"/>
    <col min="9" max="11" width="8.75" style="39"/>
    <col min="12" max="12" width="8.75" style="39" customWidth="1"/>
    <col min="13" max="16384" width="8.75" style="39"/>
  </cols>
  <sheetData>
    <row r="2" spans="2:6" ht="27">
      <c r="B2" s="226" t="s">
        <v>18</v>
      </c>
      <c r="C2" s="226"/>
      <c r="D2" s="226"/>
      <c r="E2" s="226"/>
    </row>
    <row r="3" spans="2:6" ht="125.25" customHeight="1">
      <c r="B3" s="227" t="s">
        <v>625</v>
      </c>
      <c r="C3" s="227"/>
      <c r="D3" s="227"/>
      <c r="E3" s="227"/>
    </row>
    <row r="4" spans="2:6">
      <c r="B4" s="40"/>
      <c r="C4" s="40"/>
      <c r="D4" s="40"/>
      <c r="E4" s="40"/>
      <c r="F4" s="41"/>
    </row>
    <row r="6" spans="2:6" ht="27">
      <c r="B6" s="226" t="s">
        <v>19</v>
      </c>
      <c r="C6" s="226"/>
      <c r="D6" s="226"/>
      <c r="E6" s="226"/>
    </row>
    <row r="7" spans="2:6">
      <c r="B7" s="228" t="s">
        <v>20</v>
      </c>
      <c r="C7" s="228"/>
      <c r="D7" s="228"/>
      <c r="E7" s="228"/>
    </row>
    <row r="8" spans="2:6" ht="48.75" customHeight="1">
      <c r="B8" s="227" t="s">
        <v>603</v>
      </c>
      <c r="C8" s="227"/>
      <c r="D8" s="227"/>
      <c r="E8" s="227"/>
    </row>
    <row r="9" spans="2:6">
      <c r="B9" s="228" t="s">
        <v>21</v>
      </c>
      <c r="C9" s="228"/>
      <c r="D9" s="228"/>
      <c r="E9" s="228"/>
    </row>
    <row r="10" spans="2:6" ht="45.75" customHeight="1">
      <c r="B10" s="227" t="s">
        <v>616</v>
      </c>
      <c r="C10" s="227"/>
      <c r="D10" s="227"/>
      <c r="E10" s="227"/>
    </row>
    <row r="11" spans="2:6" ht="24.75" customHeight="1">
      <c r="B11" s="228" t="s">
        <v>22</v>
      </c>
      <c r="C11" s="228"/>
      <c r="D11" s="228"/>
      <c r="E11" s="228"/>
    </row>
    <row r="12" spans="2:6" ht="36" customHeight="1">
      <c r="B12" s="227" t="s">
        <v>23</v>
      </c>
      <c r="C12" s="227"/>
      <c r="D12" s="227"/>
      <c r="E12" s="227"/>
    </row>
    <row r="13" spans="2:6">
      <c r="B13" s="40"/>
      <c r="C13" s="40"/>
      <c r="D13" s="40"/>
      <c r="E13" s="40"/>
      <c r="F13" s="41"/>
    </row>
    <row r="14" spans="2:6" ht="27">
      <c r="B14" s="226" t="s">
        <v>24</v>
      </c>
      <c r="C14" s="226"/>
      <c r="D14" s="226"/>
      <c r="E14" s="226"/>
    </row>
    <row r="15" spans="2:6">
      <c r="B15" s="1"/>
    </row>
    <row r="16" spans="2:6">
      <c r="B16" s="228" t="s">
        <v>25</v>
      </c>
      <c r="C16" s="228"/>
      <c r="D16" s="228"/>
      <c r="E16" s="228"/>
    </row>
    <row r="17" spans="2:5" ht="24" customHeight="1">
      <c r="B17" s="54" t="s">
        <v>26</v>
      </c>
      <c r="C17" s="47" t="s">
        <v>27</v>
      </c>
      <c r="D17" s="45" t="s">
        <v>28</v>
      </c>
    </row>
    <row r="18" spans="2:5" ht="24" customHeight="1">
      <c r="B18" s="54" t="s">
        <v>29</v>
      </c>
      <c r="C18" s="47" t="s">
        <v>30</v>
      </c>
      <c r="D18" s="45"/>
    </row>
    <row r="19" spans="2:5" ht="24" customHeight="1">
      <c r="B19" s="54" t="s">
        <v>599</v>
      </c>
      <c r="C19" s="47" t="s">
        <v>31</v>
      </c>
      <c r="D19" s="45"/>
    </row>
    <row r="20" spans="2:5" ht="24" customHeight="1">
      <c r="B20" s="54" t="s">
        <v>32</v>
      </c>
      <c r="C20" s="47" t="s">
        <v>33</v>
      </c>
      <c r="D20" s="45"/>
    </row>
    <row r="21" spans="2:5" ht="24" customHeight="1">
      <c r="B21" s="3"/>
      <c r="C21" s="154"/>
      <c r="D21" s="45"/>
    </row>
    <row r="22" spans="2:5" ht="24" customHeight="1">
      <c r="B22" s="155" t="s">
        <v>34</v>
      </c>
      <c r="C22" s="154"/>
      <c r="D22" s="45"/>
    </row>
    <row r="23" spans="2:5">
      <c r="B23" s="54" t="s">
        <v>35</v>
      </c>
      <c r="C23" s="33">
        <f>Backend!E5</f>
        <v>0.53</v>
      </c>
    </row>
    <row r="24" spans="2:5">
      <c r="B24" s="89"/>
      <c r="C24" s="89"/>
    </row>
    <row r="25" spans="2:5" ht="27">
      <c r="B25" s="226" t="s">
        <v>36</v>
      </c>
      <c r="C25" s="226"/>
      <c r="D25" s="226"/>
      <c r="E25" s="226"/>
    </row>
    <row r="26" spans="2:5">
      <c r="B26" s="44" t="s">
        <v>37</v>
      </c>
      <c r="C26" s="46" t="s">
        <v>38</v>
      </c>
      <c r="D26" s="46" t="s">
        <v>39</v>
      </c>
      <c r="E26" s="46"/>
    </row>
    <row r="27" spans="2:5">
      <c r="B27" s="53" t="s">
        <v>40</v>
      </c>
      <c r="C27" s="168">
        <f>'DS_Scenario_2024(FPS)'!E10*1000</f>
        <v>3750</v>
      </c>
      <c r="D27" s="19"/>
      <c r="E27" s="46"/>
    </row>
    <row r="28" spans="2:5">
      <c r="B28" s="53" t="s">
        <v>41</v>
      </c>
      <c r="C28" s="168">
        <f>SUM('DS_Scenario_2024(FPS)'!H22:H30)</f>
        <v>2103.7735849056608</v>
      </c>
      <c r="D28" s="42"/>
      <c r="E28" s="46"/>
    </row>
    <row r="29" spans="2:5">
      <c r="B29" s="53" t="s">
        <v>42</v>
      </c>
      <c r="C29" s="168">
        <f>SUM('DS_Scenario_2024(FPS)'!H43,'DS_Scenario_2024(FPS)'!H47)</f>
        <v>160.37754716981132</v>
      </c>
      <c r="D29" s="42"/>
      <c r="E29" s="46"/>
    </row>
    <row r="30" spans="2:5">
      <c r="B30" s="53" t="s">
        <v>43</v>
      </c>
      <c r="C30" s="168">
        <f>SUM('DS_Scenario_2024(FPS)'!H41:H42,'DS_Scenario_2024(FPS)'!H44:H46)</f>
        <v>83.207547169811306</v>
      </c>
      <c r="D30" s="42"/>
      <c r="E30" s="46"/>
    </row>
    <row r="31" spans="2:5">
      <c r="B31" s="53" t="s">
        <v>44</v>
      </c>
      <c r="C31" s="168">
        <f>SUM('DS_Scenario_2024(FPS)'!I31:I39)</f>
        <v>1561</v>
      </c>
      <c r="D31" s="87"/>
      <c r="E31" s="51"/>
    </row>
    <row r="32" spans="2:5">
      <c r="B32" s="53" t="s">
        <v>45</v>
      </c>
      <c r="C32" s="168">
        <f>SUM('DS_Scenario_2024(FPS)'!H15:H16)</f>
        <v>4</v>
      </c>
      <c r="D32" s="43"/>
      <c r="E32" s="52"/>
    </row>
    <row r="33" spans="2:7">
      <c r="B33" s="53" t="s">
        <v>46</v>
      </c>
      <c r="C33" s="168">
        <f>'DS_Scenario_2024(FPS)'!H13</f>
        <v>275.47000000000003</v>
      </c>
      <c r="D33" s="43"/>
      <c r="E33" s="52"/>
    </row>
    <row r="34" spans="2:7">
      <c r="B34" s="53" t="s">
        <v>47</v>
      </c>
      <c r="C34" s="168">
        <f>'DS_Scenario_2024(FPS)'!H14</f>
        <v>0.27539999999999998</v>
      </c>
      <c r="D34" s="42"/>
      <c r="E34" s="51"/>
    </row>
    <row r="35" spans="2:7">
      <c r="B35" s="53" t="s">
        <v>48</v>
      </c>
      <c r="C35" s="168">
        <f>'DS_Scenario_2024(FPS)'!H19</f>
        <v>2</v>
      </c>
      <c r="D35" s="42"/>
    </row>
    <row r="36" spans="2:7">
      <c r="B36" s="53" t="s">
        <v>49</v>
      </c>
      <c r="C36" s="168">
        <f>'DS_Scenario_2024(FPS)'!H20</f>
        <v>2</v>
      </c>
      <c r="D36" s="42"/>
    </row>
    <row r="37" spans="2:7">
      <c r="B37" s="53" t="s">
        <v>50</v>
      </c>
      <c r="C37" s="168">
        <f>'DS_Scenario_2024(FPS)'!H17</f>
        <v>1830</v>
      </c>
      <c r="D37" s="42"/>
    </row>
    <row r="38" spans="2:7">
      <c r="B38" s="40"/>
      <c r="C38" s="40"/>
      <c r="D38" s="40"/>
      <c r="E38" s="40"/>
    </row>
    <row r="40" spans="2:7">
      <c r="B40" s="38"/>
    </row>
    <row r="41" spans="2:7">
      <c r="B41" s="3" t="s">
        <v>562</v>
      </c>
      <c r="C41" s="213">
        <f>Backend!M81/Kg_product_soln</f>
        <v>-0.56072635688397565</v>
      </c>
      <c r="D41" s="3" t="s">
        <v>564</v>
      </c>
    </row>
    <row r="42" spans="2:7" s="50" customFormat="1">
      <c r="B42" s="3" t="s">
        <v>565</v>
      </c>
      <c r="C42" s="213">
        <f>Backend!M81/1000</f>
        <v>-2.1027238383149087</v>
      </c>
      <c r="D42" s="3" t="s">
        <v>567</v>
      </c>
    </row>
    <row r="43" spans="2:7">
      <c r="B43" s="3" t="s">
        <v>563</v>
      </c>
      <c r="C43" s="213">
        <f>Backend!M74/Calculator!C23</f>
        <v>-3700.6923417185594</v>
      </c>
      <c r="D43" s="3" t="s">
        <v>52</v>
      </c>
      <c r="G43" s="38"/>
    </row>
    <row r="44" spans="2:7">
      <c r="B44" s="3" t="s">
        <v>566</v>
      </c>
      <c r="C44" s="213">
        <f>Backend!M74/1000</f>
        <v>-1.9613669411108365</v>
      </c>
      <c r="D44" s="3" t="s">
        <v>567</v>
      </c>
      <c r="G44" s="38"/>
    </row>
    <row r="45" spans="2:7">
      <c r="B45" s="40"/>
      <c r="C45" s="215"/>
      <c r="D45" s="40"/>
      <c r="E45" s="40"/>
    </row>
    <row r="47" spans="2:7" ht="27">
      <c r="B47" s="191" t="s">
        <v>53</v>
      </c>
      <c r="C47" s="191"/>
      <c r="D47" s="191"/>
      <c r="E47" s="191"/>
    </row>
    <row r="48" spans="2:7">
      <c r="B48" s="30" t="s">
        <v>54</v>
      </c>
      <c r="C48" s="10">
        <f>'Uncertainty Analysis'!G12</f>
        <v>-1.706698314391911</v>
      </c>
      <c r="D48" s="3" t="s">
        <v>600</v>
      </c>
    </row>
    <row r="49" spans="2:4">
      <c r="B49" s="30" t="s">
        <v>568</v>
      </c>
      <c r="C49" s="10">
        <f>'Uncertainty Analysis'!F12</f>
        <v>-2.5448918911395975</v>
      </c>
      <c r="D49" s="3" t="s">
        <v>600</v>
      </c>
    </row>
  </sheetData>
  <sheetProtection sort="0" pivotTables="0"/>
  <mergeCells count="12">
    <mergeCell ref="B25:E25"/>
    <mergeCell ref="B3:E3"/>
    <mergeCell ref="B2:E2"/>
    <mergeCell ref="B14:E14"/>
    <mergeCell ref="B16:E16"/>
    <mergeCell ref="B6:E6"/>
    <mergeCell ref="B8:E8"/>
    <mergeCell ref="B7:E7"/>
    <mergeCell ref="B9:E9"/>
    <mergeCell ref="B10:E10"/>
    <mergeCell ref="B11:E11"/>
    <mergeCell ref="B12:E12"/>
  </mergeCells>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80F1-A67B-4DBB-B84C-7AFFAF9380B8}">
  <sheetPr>
    <tabColor rgb="FF046C8B"/>
  </sheetPr>
  <dimension ref="B2:S110"/>
  <sheetViews>
    <sheetView showGridLines="0" tabSelected="1" topLeftCell="A54" zoomScale="60" zoomScaleNormal="60" workbookViewId="0">
      <selection activeCell="K83" sqref="K83"/>
    </sheetView>
  </sheetViews>
  <sheetFormatPr defaultColWidth="8.75" defaultRowHeight="19.5"/>
  <cols>
    <col min="1" max="1" width="4.125" style="3" customWidth="1"/>
    <col min="2" max="2" width="60" style="3" customWidth="1"/>
    <col min="3" max="3" width="56" style="3" customWidth="1"/>
    <col min="4" max="4" width="28.875" style="3" customWidth="1"/>
    <col min="5" max="7" width="15.75" style="3" customWidth="1"/>
    <col min="8" max="8" width="4.125" style="3" customWidth="1"/>
    <col min="9" max="9" width="4.25" style="21" customWidth="1"/>
    <col min="10" max="10" width="48.25" style="3" customWidth="1"/>
    <col min="11" max="11" width="89.125" style="3" customWidth="1"/>
    <col min="12" max="12" width="15.25" style="3" customWidth="1"/>
    <col min="13" max="13" width="16.75" style="3" customWidth="1"/>
    <col min="14" max="14" width="20.375" style="3" customWidth="1"/>
    <col min="15" max="15" width="19.375" style="3" customWidth="1"/>
    <col min="16" max="16" width="11.625" style="3" bestFit="1" customWidth="1"/>
    <col min="17" max="17" width="10.75" style="3" bestFit="1" customWidth="1"/>
    <col min="18" max="16384" width="8.75" style="3"/>
  </cols>
  <sheetData>
    <row r="2" spans="2:13" ht="25.5">
      <c r="B2" s="20" t="s">
        <v>36</v>
      </c>
      <c r="C2" s="2"/>
      <c r="J2" s="20" t="s">
        <v>55</v>
      </c>
    </row>
    <row r="3" spans="2:13">
      <c r="J3" s="45" t="s">
        <v>56</v>
      </c>
    </row>
    <row r="4" spans="2:13">
      <c r="B4" s="22" t="s">
        <v>34</v>
      </c>
      <c r="C4" s="22" t="s">
        <v>57</v>
      </c>
      <c r="D4" s="22" t="s">
        <v>58</v>
      </c>
      <c r="E4" s="22" t="s">
        <v>59</v>
      </c>
      <c r="J4" s="3" t="s">
        <v>60</v>
      </c>
    </row>
    <row r="5" spans="2:13">
      <c r="B5" s="23" t="str">
        <f>Calculator!B17</f>
        <v>Crop Type</v>
      </c>
      <c r="C5" s="23" t="s">
        <v>61</v>
      </c>
      <c r="D5" s="23" t="s">
        <v>62</v>
      </c>
      <c r="E5" s="23">
        <v>0.53</v>
      </c>
      <c r="J5" s="22" t="s">
        <v>63</v>
      </c>
      <c r="K5" s="22" t="s">
        <v>64</v>
      </c>
      <c r="L5" s="22" t="s">
        <v>58</v>
      </c>
      <c r="M5" s="22" t="s">
        <v>65</v>
      </c>
    </row>
    <row r="6" spans="2:13">
      <c r="J6" s="8" t="s">
        <v>66</v>
      </c>
      <c r="K6" s="23" t="s">
        <v>67</v>
      </c>
      <c r="L6" s="86" t="s">
        <v>51</v>
      </c>
      <c r="M6" s="69">
        <f>E76*$E$98*E99*$E$97</f>
        <v>162.59910810000005</v>
      </c>
    </row>
    <row r="7" spans="2:13">
      <c r="B7" s="22" t="s">
        <v>37</v>
      </c>
      <c r="C7" s="22" t="s">
        <v>57</v>
      </c>
      <c r="D7" s="22" t="s">
        <v>58</v>
      </c>
      <c r="E7" s="22" t="s">
        <v>65</v>
      </c>
      <c r="J7" s="8" t="s">
        <v>68</v>
      </c>
      <c r="K7" s="23" t="s">
        <v>69</v>
      </c>
      <c r="L7" s="86" t="s">
        <v>51</v>
      </c>
      <c r="M7" s="68">
        <f>((E76*$B$110)+(E76*$C$110))*$E$99*$E$97</f>
        <v>77.071977239400013</v>
      </c>
    </row>
    <row r="8" spans="2:13">
      <c r="B8" s="23" t="s">
        <v>70</v>
      </c>
      <c r="C8" s="23"/>
      <c r="D8" s="9" t="s">
        <v>71</v>
      </c>
      <c r="E8" s="224">
        <f>'R_Scenario_2022(FPS)'!E10*1000</f>
        <v>3600</v>
      </c>
      <c r="J8" s="23" t="s">
        <v>72</v>
      </c>
      <c r="K8" s="23" t="s">
        <v>73</v>
      </c>
      <c r="L8" s="86" t="s">
        <v>51</v>
      </c>
      <c r="M8" s="68">
        <f>E29*E52</f>
        <v>2011.7157000000004</v>
      </c>
    </row>
    <row r="9" spans="2:13">
      <c r="B9" s="23" t="s">
        <v>74</v>
      </c>
      <c r="C9" s="23"/>
      <c r="D9" s="113" t="s">
        <v>75</v>
      </c>
      <c r="E9" s="68">
        <f>'Reference Data'!D19</f>
        <v>160.37754716981132</v>
      </c>
      <c r="J9" s="8" t="s">
        <v>76</v>
      </c>
      <c r="K9" s="23" t="s">
        <v>67</v>
      </c>
      <c r="L9" s="86" t="s">
        <v>51</v>
      </c>
      <c r="M9" s="68">
        <f>E77*$E$98*$E$99*$E$97</f>
        <v>2.7284400000000004</v>
      </c>
    </row>
    <row r="10" spans="2:13">
      <c r="B10" s="23" t="s">
        <v>77</v>
      </c>
      <c r="C10" s="23"/>
      <c r="D10" s="113" t="s">
        <v>75</v>
      </c>
      <c r="E10" s="68">
        <f>'Reference Data'!D18</f>
        <v>92.641509433962256</v>
      </c>
      <c r="J10" s="8" t="s">
        <v>78</v>
      </c>
      <c r="K10" s="23" t="s">
        <v>79</v>
      </c>
      <c r="L10" s="86" t="s">
        <v>51</v>
      </c>
      <c r="M10" s="68">
        <f>((E77*$B$110)+(E77*$C$110))*$E$99*$E$97</f>
        <v>1.2932805599999999</v>
      </c>
    </row>
    <row r="11" spans="2:13">
      <c r="B11" s="23" t="s">
        <v>80</v>
      </c>
      <c r="C11" s="23"/>
      <c r="D11" s="113" t="s">
        <v>81</v>
      </c>
      <c r="E11" s="68">
        <f>'Reference Data'!D17</f>
        <v>1838.6309999999996</v>
      </c>
      <c r="J11" s="23" t="s">
        <v>82</v>
      </c>
      <c r="K11" s="23" t="s">
        <v>73</v>
      </c>
      <c r="L11" s="86" t="s">
        <v>51</v>
      </c>
      <c r="M11" s="68">
        <f>E30*E53</f>
        <v>3.3711498000000004</v>
      </c>
    </row>
    <row r="12" spans="2:13">
      <c r="B12" s="23" t="s">
        <v>83</v>
      </c>
      <c r="C12" s="23"/>
      <c r="D12" s="113" t="s">
        <v>84</v>
      </c>
      <c r="E12" s="68">
        <f>'Reference Data'!D8</f>
        <v>550.1</v>
      </c>
      <c r="J12" s="8" t="s">
        <v>85</v>
      </c>
      <c r="K12" s="23" t="s">
        <v>67</v>
      </c>
      <c r="L12" s="86" t="s">
        <v>51</v>
      </c>
      <c r="M12" s="68">
        <f>E78*$E$98*$E$99*$E$97</f>
        <v>131.53058919000003</v>
      </c>
    </row>
    <row r="13" spans="2:13">
      <c r="B13" s="157" t="s">
        <v>86</v>
      </c>
      <c r="C13" s="23"/>
      <c r="D13" s="113" t="s">
        <v>84</v>
      </c>
      <c r="E13" s="68">
        <f>'Reference Data'!D9</f>
        <v>6</v>
      </c>
      <c r="J13" s="8" t="s">
        <v>87</v>
      </c>
      <c r="K13" s="23" t="s">
        <v>79</v>
      </c>
      <c r="L13" s="86" t="s">
        <v>51</v>
      </c>
      <c r="M13" s="68">
        <f>((E78*$B$110)+(E78*$C$110))*$E$99*$E$97</f>
        <v>62.345499276060004</v>
      </c>
    </row>
    <row r="14" spans="2:13">
      <c r="B14" s="157" t="s">
        <v>88</v>
      </c>
      <c r="C14" s="23"/>
      <c r="D14" s="113" t="s">
        <v>84</v>
      </c>
      <c r="E14" s="68">
        <f>'Reference Data'!D10</f>
        <v>275.47000000000003</v>
      </c>
      <c r="J14" s="95" t="s">
        <v>89</v>
      </c>
      <c r="K14" s="95" t="s">
        <v>73</v>
      </c>
      <c r="L14" s="96" t="s">
        <v>51</v>
      </c>
      <c r="M14" s="97">
        <f>E31*E54</f>
        <v>0.45885431428571438</v>
      </c>
    </row>
    <row r="15" spans="2:13">
      <c r="B15" s="23" t="s">
        <v>90</v>
      </c>
      <c r="C15" s="23"/>
      <c r="D15" s="113" t="s">
        <v>84</v>
      </c>
      <c r="E15" s="68">
        <f>'Reference Data'!D11</f>
        <v>550.94000000000005</v>
      </c>
      <c r="J15" s="23" t="s">
        <v>91</v>
      </c>
      <c r="K15" s="23" t="s">
        <v>73</v>
      </c>
      <c r="L15" s="71" t="s">
        <v>51</v>
      </c>
      <c r="M15" s="34">
        <f>C94</f>
        <v>1.0261891301376</v>
      </c>
    </row>
    <row r="16" spans="2:13">
      <c r="B16" s="23" t="s">
        <v>92</v>
      </c>
      <c r="C16" s="23"/>
      <c r="D16" s="113" t="s">
        <v>84</v>
      </c>
      <c r="E16" s="68">
        <f>'Reference Data'!D12</f>
        <v>1981</v>
      </c>
      <c r="G16" s="56"/>
      <c r="H16" s="56"/>
      <c r="J16" s="23" t="s">
        <v>93</v>
      </c>
      <c r="K16" s="23" t="s">
        <v>73</v>
      </c>
      <c r="L16" s="71" t="s">
        <v>51</v>
      </c>
      <c r="M16" s="34">
        <f>C93</f>
        <v>0.78823494750000023</v>
      </c>
    </row>
    <row r="17" spans="2:19">
      <c r="B17" s="23" t="s">
        <v>94</v>
      </c>
      <c r="C17" s="23"/>
      <c r="D17" s="113" t="s">
        <v>84</v>
      </c>
      <c r="E17" s="68">
        <f>'Reference Data'!D13</f>
        <v>1.5</v>
      </c>
      <c r="G17" s="56"/>
      <c r="H17" s="56"/>
      <c r="J17" s="98" t="s">
        <v>95</v>
      </c>
      <c r="K17" s="98" t="s">
        <v>96</v>
      </c>
      <c r="L17" s="99" t="s">
        <v>51</v>
      </c>
      <c r="M17" s="100">
        <f>$E$58*$E$79</f>
        <v>8.5263750000000016</v>
      </c>
    </row>
    <row r="18" spans="2:19">
      <c r="B18" s="23" t="s">
        <v>585</v>
      </c>
      <c r="C18" s="23"/>
      <c r="D18" s="113" t="s">
        <v>84</v>
      </c>
      <c r="E18" s="68">
        <f>'Reference Data'!D14</f>
        <v>0.25</v>
      </c>
      <c r="G18" s="56"/>
      <c r="H18" s="56"/>
      <c r="J18" s="23" t="s">
        <v>97</v>
      </c>
      <c r="K18" s="23" t="s">
        <v>98</v>
      </c>
      <c r="L18" s="86" t="s">
        <v>51</v>
      </c>
      <c r="M18" s="68">
        <f>$E$59*$E$80</f>
        <v>0.61943749999999997</v>
      </c>
    </row>
    <row r="19" spans="2:19">
      <c r="B19" s="23" t="s">
        <v>99</v>
      </c>
      <c r="C19" s="23"/>
      <c r="D19" s="113" t="s">
        <v>84</v>
      </c>
      <c r="E19" s="68">
        <f>'Reference Data'!D15</f>
        <v>2</v>
      </c>
      <c r="G19" s="56"/>
      <c r="H19" s="56"/>
      <c r="J19" s="23" t="s">
        <v>549</v>
      </c>
      <c r="K19" s="23" t="s">
        <v>96</v>
      </c>
      <c r="L19" s="86" t="s">
        <v>51</v>
      </c>
      <c r="M19" s="68">
        <f>$E$58*$E$81</f>
        <v>3.6379200000000003</v>
      </c>
    </row>
    <row r="20" spans="2:19">
      <c r="B20" s="23" t="s">
        <v>586</v>
      </c>
      <c r="C20" s="23"/>
      <c r="D20" s="113" t="s">
        <v>84</v>
      </c>
      <c r="E20" s="68">
        <f>'Reference Data'!D16</f>
        <v>2</v>
      </c>
      <c r="G20" s="56"/>
      <c r="H20" s="56"/>
      <c r="J20" s="23" t="s">
        <v>100</v>
      </c>
      <c r="K20" s="23" t="s">
        <v>98</v>
      </c>
      <c r="L20" s="86" t="s">
        <v>51</v>
      </c>
      <c r="M20" s="68">
        <f>$E$59*$E$82</f>
        <v>5.9466000000000001</v>
      </c>
    </row>
    <row r="21" spans="2:19">
      <c r="B21" s="23" t="s">
        <v>101</v>
      </c>
      <c r="C21" s="23"/>
      <c r="D21" s="113" t="s">
        <v>102</v>
      </c>
      <c r="E21" s="68">
        <f>'Reference Data'!D20</f>
        <v>1365</v>
      </c>
      <c r="G21" s="56"/>
      <c r="H21" s="56"/>
      <c r="J21" s="98" t="s">
        <v>103</v>
      </c>
      <c r="K21" s="23" t="s">
        <v>104</v>
      </c>
      <c r="L21" s="86" t="s">
        <v>51</v>
      </c>
      <c r="M21" s="68">
        <f>(E39)*$E$63</f>
        <v>439.53000000000003</v>
      </c>
    </row>
    <row r="22" spans="2:19">
      <c r="G22" s="56"/>
      <c r="H22" s="56"/>
      <c r="J22" s="98" t="s">
        <v>74</v>
      </c>
      <c r="K22" s="23" t="s">
        <v>105</v>
      </c>
      <c r="L22" s="86" t="s">
        <v>51</v>
      </c>
      <c r="M22" s="68">
        <f>E26*$E$61</f>
        <v>200.79102466287577</v>
      </c>
    </row>
    <row r="23" spans="2:19">
      <c r="E23" s="56"/>
      <c r="F23" s="56"/>
      <c r="G23" s="56"/>
      <c r="H23" s="56"/>
      <c r="J23" s="98" t="s">
        <v>77</v>
      </c>
      <c r="K23" s="23" t="s">
        <v>105</v>
      </c>
      <c r="L23" s="86" t="s">
        <v>51</v>
      </c>
      <c r="M23" s="68">
        <f>E27*$E$62</f>
        <v>129.38337320016376</v>
      </c>
    </row>
    <row r="24" spans="2:19">
      <c r="B24" s="22" t="s">
        <v>626</v>
      </c>
      <c r="C24" s="22" t="s">
        <v>57</v>
      </c>
      <c r="D24" s="22" t="s">
        <v>58</v>
      </c>
      <c r="E24" s="22" t="s">
        <v>106</v>
      </c>
      <c r="F24" s="22" t="s">
        <v>107</v>
      </c>
      <c r="G24" s="22" t="s">
        <v>551</v>
      </c>
      <c r="H24" s="56"/>
      <c r="J24" s="98" t="s">
        <v>108</v>
      </c>
      <c r="K24" s="23" t="s">
        <v>109</v>
      </c>
      <c r="L24" s="86" t="s">
        <v>51</v>
      </c>
      <c r="M24" s="68">
        <f>E28*$E$60</f>
        <v>149.20177997729996</v>
      </c>
    </row>
    <row r="25" spans="2:19">
      <c r="B25" s="23" t="s">
        <v>110</v>
      </c>
      <c r="C25" s="23"/>
      <c r="D25" s="9" t="s">
        <v>71</v>
      </c>
      <c r="E25" s="225">
        <f>E8</f>
        <v>3600</v>
      </c>
      <c r="F25" s="225">
        <f>'DS_Scenario_2024(FPS)'!E10*1000</f>
        <v>3750</v>
      </c>
      <c r="G25" s="68">
        <f>F25-E25</f>
        <v>150</v>
      </c>
      <c r="H25" s="56"/>
      <c r="J25" s="98" t="s">
        <v>111</v>
      </c>
      <c r="K25" s="23"/>
      <c r="L25" s="86" t="s">
        <v>51</v>
      </c>
      <c r="M25" s="68">
        <f>SUM(M6:M24)</f>
        <v>3392.5655328977232</v>
      </c>
    </row>
    <row r="26" spans="2:19">
      <c r="B26" s="23" t="s">
        <v>74</v>
      </c>
      <c r="C26" s="23"/>
      <c r="D26" s="113" t="s">
        <v>112</v>
      </c>
      <c r="E26" s="68">
        <f t="shared" ref="E26:E31" si="0">E9*$E$5</f>
        <v>85.000100000000003</v>
      </c>
      <c r="F26" s="68">
        <f>'Reference Data'!D49*$E$5</f>
        <v>85.000100000000003</v>
      </c>
      <c r="G26" s="68">
        <f t="shared" ref="G26:G40" si="1">F26-E26</f>
        <v>0</v>
      </c>
      <c r="H26" s="56"/>
      <c r="J26" s="98" t="s">
        <v>553</v>
      </c>
      <c r="K26" s="23" t="s">
        <v>113</v>
      </c>
      <c r="L26" s="86" t="s">
        <v>52</v>
      </c>
      <c r="M26" s="68">
        <f>M25/E5</f>
        <v>6401.0670432032512</v>
      </c>
    </row>
    <row r="27" spans="2:19">
      <c r="B27" s="23" t="s">
        <v>77</v>
      </c>
      <c r="C27" s="23"/>
      <c r="D27" s="113" t="s">
        <v>112</v>
      </c>
      <c r="E27" s="68">
        <f t="shared" si="0"/>
        <v>49.1</v>
      </c>
      <c r="F27" s="68">
        <f>'Reference Data'!D48*$E$5</f>
        <v>44.099999999999994</v>
      </c>
      <c r="G27" s="68">
        <f t="shared" si="1"/>
        <v>-5.0000000000000071</v>
      </c>
      <c r="H27" s="56"/>
      <c r="J27" s="98" t="s">
        <v>552</v>
      </c>
      <c r="K27" s="23" t="s">
        <v>114</v>
      </c>
      <c r="L27" s="86" t="s">
        <v>115</v>
      </c>
      <c r="M27" s="68">
        <f>M25/E40</f>
        <v>0.94237931469381198</v>
      </c>
    </row>
    <row r="28" spans="2:19">
      <c r="B28" s="23" t="s">
        <v>80</v>
      </c>
      <c r="C28" s="23"/>
      <c r="D28" s="113" t="s">
        <v>116</v>
      </c>
      <c r="E28" s="68">
        <f t="shared" si="0"/>
        <v>974.47442999999987</v>
      </c>
      <c r="F28" s="68">
        <f>'Reference Data'!D50*$E$5</f>
        <v>827.33</v>
      </c>
      <c r="G28" s="68">
        <f t="shared" si="1"/>
        <v>-147.14442999999983</v>
      </c>
      <c r="H28" s="56"/>
    </row>
    <row r="29" spans="2:19">
      <c r="B29" s="23" t="s">
        <v>117</v>
      </c>
      <c r="C29" s="23" t="s">
        <v>118</v>
      </c>
      <c r="D29" s="113" t="s">
        <v>71</v>
      </c>
      <c r="E29" s="68">
        <f t="shared" si="0"/>
        <v>291.55300000000005</v>
      </c>
      <c r="F29" s="68">
        <f>0</f>
        <v>0</v>
      </c>
      <c r="G29" s="68">
        <f t="shared" si="1"/>
        <v>-291.55300000000005</v>
      </c>
      <c r="H29" s="190"/>
      <c r="O29"/>
      <c r="P29"/>
      <c r="Q29"/>
      <c r="R29"/>
      <c r="S29"/>
    </row>
    <row r="30" spans="2:19">
      <c r="B30" s="157" t="s">
        <v>86</v>
      </c>
      <c r="C30" s="23"/>
      <c r="D30" s="113" t="s">
        <v>71</v>
      </c>
      <c r="E30" s="68">
        <f t="shared" si="0"/>
        <v>3.18</v>
      </c>
      <c r="F30" s="68">
        <f>'Reference Data'!D43*$E$5</f>
        <v>2.12</v>
      </c>
      <c r="G30" s="68">
        <f t="shared" si="1"/>
        <v>-1.06</v>
      </c>
      <c r="H30" s="190"/>
      <c r="J30" s="3" t="s">
        <v>119</v>
      </c>
      <c r="O30"/>
      <c r="P30"/>
      <c r="Q30"/>
      <c r="R30"/>
      <c r="S30"/>
    </row>
    <row r="31" spans="2:19">
      <c r="B31" s="157" t="s">
        <v>88</v>
      </c>
      <c r="C31" s="23"/>
      <c r="D31" s="113" t="s">
        <v>71</v>
      </c>
      <c r="E31" s="68">
        <f t="shared" si="0"/>
        <v>145.99910000000003</v>
      </c>
      <c r="F31" s="68">
        <f>'Reference Data'!D42*Backend!$E$5</f>
        <v>0.14596200000000001</v>
      </c>
      <c r="G31" s="68">
        <f t="shared" si="1"/>
        <v>-145.85313800000003</v>
      </c>
      <c r="H31" s="190"/>
      <c r="J31" s="22" t="s">
        <v>63</v>
      </c>
      <c r="K31" s="22" t="s">
        <v>64</v>
      </c>
      <c r="L31" s="22" t="s">
        <v>58</v>
      </c>
      <c r="M31" s="22" t="s">
        <v>65</v>
      </c>
      <c r="O31"/>
      <c r="P31"/>
      <c r="Q31"/>
      <c r="R31"/>
      <c r="S31"/>
    </row>
    <row r="32" spans="2:19">
      <c r="B32" s="23" t="s">
        <v>120</v>
      </c>
      <c r="C32" s="23" t="s">
        <v>121</v>
      </c>
      <c r="D32" s="113" t="s">
        <v>71</v>
      </c>
      <c r="E32" s="68">
        <v>0</v>
      </c>
      <c r="F32" s="68">
        <f>'Reference Data'!D41*Backend!$E$5</f>
        <v>145.99910000000003</v>
      </c>
      <c r="G32" s="68">
        <f t="shared" si="1"/>
        <v>145.99910000000003</v>
      </c>
      <c r="H32" s="190"/>
      <c r="J32" s="8" t="s">
        <v>76</v>
      </c>
      <c r="K32" s="23" t="s">
        <v>67</v>
      </c>
      <c r="L32" s="86" t="s">
        <v>51</v>
      </c>
      <c r="M32" s="68">
        <f>E85*$E$98*$E$99*$E$97</f>
        <v>1.8189600000000004</v>
      </c>
      <c r="N32" s="150"/>
      <c r="O32"/>
      <c r="P32"/>
      <c r="Q32"/>
      <c r="R32"/>
      <c r="S32"/>
    </row>
    <row r="33" spans="2:19">
      <c r="B33" s="23" t="s">
        <v>90</v>
      </c>
      <c r="C33" s="23" t="s">
        <v>122</v>
      </c>
      <c r="D33" s="113" t="s">
        <v>71</v>
      </c>
      <c r="E33" s="68">
        <f t="shared" ref="E33:E38" si="2">E15*$E$5</f>
        <v>291.99820000000005</v>
      </c>
      <c r="F33" s="68">
        <v>0</v>
      </c>
      <c r="G33" s="68">
        <f t="shared" si="1"/>
        <v>-291.99820000000005</v>
      </c>
      <c r="H33" s="190"/>
      <c r="J33" s="8" t="s">
        <v>78</v>
      </c>
      <c r="K33" s="23" t="s">
        <v>79</v>
      </c>
      <c r="L33" s="86" t="s">
        <v>51</v>
      </c>
      <c r="M33" s="68">
        <f>(E85*$B$110)+(E85*$C$110)*$E$99*$E$97</f>
        <v>0.48109584</v>
      </c>
      <c r="N33" s="150"/>
      <c r="O33"/>
      <c r="P33"/>
      <c r="Q33"/>
      <c r="R33"/>
      <c r="S33"/>
    </row>
    <row r="34" spans="2:19">
      <c r="B34" s="23" t="s">
        <v>92</v>
      </c>
      <c r="C34" s="23"/>
      <c r="D34" s="113" t="s">
        <v>71</v>
      </c>
      <c r="E34" s="68">
        <f t="shared" si="2"/>
        <v>1049.93</v>
      </c>
      <c r="F34" s="150">
        <f>'Reference Data'!D44*E5</f>
        <v>969.90000000000009</v>
      </c>
      <c r="G34" s="68">
        <f t="shared" si="1"/>
        <v>-80.029999999999973</v>
      </c>
      <c r="H34" s="190"/>
      <c r="J34" s="23" t="s">
        <v>123</v>
      </c>
      <c r="K34" s="23" t="s">
        <v>73</v>
      </c>
      <c r="L34" s="86" t="s">
        <v>51</v>
      </c>
      <c r="M34" s="68">
        <f>F30*E53</f>
        <v>2.2474332000000001</v>
      </c>
      <c r="N34" s="150"/>
      <c r="O34"/>
      <c r="P34"/>
      <c r="Q34"/>
      <c r="R34"/>
      <c r="S34"/>
    </row>
    <row r="35" spans="2:19">
      <c r="B35" s="23" t="s">
        <v>94</v>
      </c>
      <c r="C35" s="23" t="s">
        <v>125</v>
      </c>
      <c r="D35" s="113" t="s">
        <v>71</v>
      </c>
      <c r="E35" s="68">
        <f t="shared" si="2"/>
        <v>0.79500000000000004</v>
      </c>
      <c r="F35" s="68">
        <f>0</f>
        <v>0</v>
      </c>
      <c r="G35" s="68">
        <f t="shared" si="1"/>
        <v>-0.79500000000000004</v>
      </c>
      <c r="H35" s="190"/>
      <c r="J35" s="8" t="s">
        <v>126</v>
      </c>
      <c r="K35" s="23" t="s">
        <v>67</v>
      </c>
      <c r="L35" s="86" t="s">
        <v>51</v>
      </c>
      <c r="M35" s="68">
        <f>F31*$E$98*$E$99*$E$97</f>
        <v>0.62617697999999999</v>
      </c>
      <c r="N35" s="150"/>
      <c r="O35"/>
      <c r="P35"/>
      <c r="Q35"/>
      <c r="R35"/>
      <c r="S35"/>
    </row>
    <row r="36" spans="2:19">
      <c r="B36" s="23" t="s">
        <v>585</v>
      </c>
      <c r="C36" s="23" t="s">
        <v>127</v>
      </c>
      <c r="D36" s="113" t="s">
        <v>71</v>
      </c>
      <c r="E36" s="68">
        <f t="shared" si="2"/>
        <v>0.13250000000000001</v>
      </c>
      <c r="F36" s="68">
        <v>0</v>
      </c>
      <c r="G36" s="68">
        <f t="shared" si="1"/>
        <v>-0.13250000000000001</v>
      </c>
      <c r="H36" s="190"/>
      <c r="J36" s="101" t="s">
        <v>87</v>
      </c>
      <c r="K36" s="23" t="s">
        <v>79</v>
      </c>
      <c r="L36" s="96" t="s">
        <v>51</v>
      </c>
      <c r="M36" s="152">
        <f>((E83*$B$110)+(E83*$C$110))*$E$99*$E$97</f>
        <v>62.345499276060004</v>
      </c>
      <c r="N36" s="150"/>
      <c r="O36"/>
      <c r="P36"/>
      <c r="Q36"/>
      <c r="R36"/>
      <c r="S36"/>
    </row>
    <row r="37" spans="2:19">
      <c r="B37" s="23" t="s">
        <v>99</v>
      </c>
      <c r="C37" s="23"/>
      <c r="D37" s="113" t="s">
        <v>71</v>
      </c>
      <c r="E37" s="68">
        <f t="shared" si="2"/>
        <v>1.06</v>
      </c>
      <c r="F37" s="68">
        <f>'Reference Data'!D46*$E$5</f>
        <v>1.06</v>
      </c>
      <c r="G37" s="68">
        <f t="shared" si="1"/>
        <v>0</v>
      </c>
      <c r="H37" s="190"/>
      <c r="J37" s="23" t="s">
        <v>587</v>
      </c>
      <c r="K37" s="23" t="s">
        <v>73</v>
      </c>
      <c r="L37" s="71" t="s">
        <v>51</v>
      </c>
      <c r="M37" s="153">
        <f>F31*E54</f>
        <v>4.5873771428571431E-4</v>
      </c>
      <c r="N37" s="150"/>
      <c r="O37"/>
      <c r="P37"/>
      <c r="Q37"/>
      <c r="R37"/>
      <c r="S37"/>
    </row>
    <row r="38" spans="2:19">
      <c r="B38" s="23" t="s">
        <v>586</v>
      </c>
      <c r="C38" s="23"/>
      <c r="D38" s="9" t="s">
        <v>71</v>
      </c>
      <c r="E38" s="68">
        <f t="shared" si="2"/>
        <v>1.06</v>
      </c>
      <c r="F38" s="68">
        <f>'Reference Data'!D45*$E$5</f>
        <v>1.06</v>
      </c>
      <c r="G38" s="68">
        <f t="shared" si="1"/>
        <v>0</v>
      </c>
      <c r="H38" s="190"/>
      <c r="J38" s="23" t="s">
        <v>128</v>
      </c>
      <c r="K38" s="23" t="s">
        <v>67</v>
      </c>
      <c r="L38" s="71" t="s">
        <v>51</v>
      </c>
      <c r="M38" s="34">
        <f>E84*$E$55*$E$99*$E$97</f>
        <v>0.38777674850808513</v>
      </c>
      <c r="N38" s="150"/>
    </row>
    <row r="39" spans="2:19">
      <c r="B39" s="23" t="s">
        <v>101</v>
      </c>
      <c r="C39" s="23"/>
      <c r="D39" s="9" t="s">
        <v>102</v>
      </c>
      <c r="E39" s="68">
        <f>E21</f>
        <v>1365</v>
      </c>
      <c r="F39" s="68">
        <f>'Reference Data'!D50</f>
        <v>1561</v>
      </c>
      <c r="G39" s="68">
        <f t="shared" si="1"/>
        <v>196</v>
      </c>
      <c r="H39" s="190"/>
      <c r="J39" s="101" t="s">
        <v>129</v>
      </c>
      <c r="K39" s="23" t="s">
        <v>79</v>
      </c>
      <c r="L39" s="71" t="s">
        <v>51</v>
      </c>
      <c r="M39" s="34">
        <f>((F32*B110)+(F32*C110))*$E$99*E97</f>
        <v>296.88332988600001</v>
      </c>
      <c r="N39" s="150"/>
    </row>
    <row r="40" spans="2:19">
      <c r="B40" s="23" t="s">
        <v>130</v>
      </c>
      <c r="C40" s="23"/>
      <c r="D40" s="9" t="s">
        <v>71</v>
      </c>
      <c r="E40" s="34">
        <f>E25</f>
        <v>3600</v>
      </c>
      <c r="F40" s="34">
        <f>F25</f>
        <v>3750</v>
      </c>
      <c r="G40" s="68">
        <f t="shared" si="1"/>
        <v>150</v>
      </c>
      <c r="H40" s="190"/>
      <c r="J40" s="23" t="s">
        <v>588</v>
      </c>
      <c r="K40" s="23" t="s">
        <v>73</v>
      </c>
      <c r="L40" s="71" t="s">
        <v>51</v>
      </c>
      <c r="M40" s="34">
        <f>F32*E55</f>
        <v>18.451801148936173</v>
      </c>
      <c r="N40" s="150"/>
    </row>
    <row r="41" spans="2:19">
      <c r="J41" s="23" t="s">
        <v>589</v>
      </c>
      <c r="K41" s="23" t="s">
        <v>131</v>
      </c>
      <c r="L41" s="71" t="s">
        <v>51</v>
      </c>
      <c r="M41" s="34">
        <f>D93</f>
        <v>0.72815242500000021</v>
      </c>
      <c r="N41" s="150"/>
    </row>
    <row r="42" spans="2:19">
      <c r="J42" s="98" t="s">
        <v>95</v>
      </c>
      <c r="K42" s="23" t="s">
        <v>96</v>
      </c>
      <c r="L42" s="71" t="s">
        <v>51</v>
      </c>
      <c r="M42" s="34">
        <f>$E$58*$E$86</f>
        <v>0</v>
      </c>
      <c r="N42" s="150"/>
    </row>
    <row r="43" spans="2:19">
      <c r="B43" s="22" t="s">
        <v>133</v>
      </c>
      <c r="C43" s="22" t="s">
        <v>57</v>
      </c>
      <c r="D43" s="22" t="s">
        <v>58</v>
      </c>
      <c r="E43" s="22" t="s">
        <v>560</v>
      </c>
      <c r="F43" s="22" t="s">
        <v>561</v>
      </c>
      <c r="G43" s="55"/>
      <c r="H43" s="55"/>
      <c r="J43" s="23" t="s">
        <v>97</v>
      </c>
      <c r="K43" s="23" t="s">
        <v>98</v>
      </c>
      <c r="L43" s="71" t="s">
        <v>51</v>
      </c>
      <c r="M43" s="34">
        <f>$E$58*E87</f>
        <v>0</v>
      </c>
      <c r="N43" s="150"/>
    </row>
    <row r="44" spans="2:19">
      <c r="B44" s="23" t="str">
        <f>FirstOrderEffectsComponents!B8</f>
        <v>gaiaTron Station (v3.1, incl. mast)</v>
      </c>
      <c r="C44" s="23" t="s">
        <v>135</v>
      </c>
      <c r="D44" s="23" t="s">
        <v>51</v>
      </c>
      <c r="E44" s="68">
        <f>FirstOrderEffectsComponents!D27</f>
        <v>89.034539880580809</v>
      </c>
      <c r="F44" s="68">
        <f>E44/Kg_product_soln</f>
        <v>2.3742543968154884E-2</v>
      </c>
      <c r="G44" s="55"/>
      <c r="H44" s="55"/>
      <c r="J44" s="23" t="s">
        <v>549</v>
      </c>
      <c r="K44" s="23" t="s">
        <v>96</v>
      </c>
      <c r="L44" s="71" t="s">
        <v>51</v>
      </c>
      <c r="M44" s="68">
        <f>$E$58*$E$89</f>
        <v>3.6379200000000003</v>
      </c>
      <c r="N44" s="150"/>
    </row>
    <row r="45" spans="2:19">
      <c r="B45" s="23" t="str">
        <f>FirstOrderEffectsComponents!B9</f>
        <v>Solar Radiation Sensor</v>
      </c>
      <c r="C45" s="23" t="s">
        <v>135</v>
      </c>
      <c r="D45" s="23" t="s">
        <v>51</v>
      </c>
      <c r="E45" s="68">
        <f>FirstOrderEffectsComponents!D30</f>
        <v>0.47999016645254999</v>
      </c>
      <c r="F45" s="68">
        <f>E45/Kg_product_soln</f>
        <v>1.2799737772068001E-4</v>
      </c>
      <c r="G45" s="55"/>
      <c r="H45" s="55"/>
      <c r="J45" s="23" t="s">
        <v>100</v>
      </c>
      <c r="K45" s="23" t="s">
        <v>98</v>
      </c>
      <c r="L45" s="71" t="s">
        <v>51</v>
      </c>
      <c r="M45" s="68">
        <f>$E$59*$E$88</f>
        <v>5.9466000000000001</v>
      </c>
      <c r="N45" s="150"/>
    </row>
    <row r="46" spans="2:19">
      <c r="B46" s="23" t="str">
        <f>FirstOrderEffectsComponents!B10</f>
        <v>Atmospheric Sensor</v>
      </c>
      <c r="C46" s="23" t="s">
        <v>135</v>
      </c>
      <c r="D46" s="23" t="s">
        <v>51</v>
      </c>
      <c r="E46" s="68">
        <f>FirstOrderEffectsComponents!D33</f>
        <v>0.53548580995100004</v>
      </c>
      <c r="F46" s="68">
        <f>E46/Kg_product_soln</f>
        <v>1.4279621598693336E-4</v>
      </c>
      <c r="G46" s="55"/>
      <c r="H46" s="55"/>
      <c r="J46" s="98" t="s">
        <v>103</v>
      </c>
      <c r="K46" s="98" t="s">
        <v>104</v>
      </c>
      <c r="L46" s="99" t="s">
        <v>51</v>
      </c>
      <c r="M46" s="100">
        <f>F39*$E$63</f>
        <v>502.642</v>
      </c>
      <c r="N46" s="150"/>
    </row>
    <row r="47" spans="2:19">
      <c r="B47" s="23" t="str">
        <f>FirstOrderEffectsComponents!B11</f>
        <v>Leaf Sensor</v>
      </c>
      <c r="C47" s="23" t="s">
        <v>135</v>
      </c>
      <c r="D47" s="23" t="s">
        <v>51</v>
      </c>
      <c r="E47" s="68">
        <f>FirstOrderEffectsComponents!D36</f>
        <v>0.63998688860340025</v>
      </c>
      <c r="F47" s="68">
        <f>E47/Kg_product_soln</f>
        <v>1.7066317029424007E-4</v>
      </c>
      <c r="G47" s="55"/>
      <c r="H47" s="55"/>
      <c r="J47" s="23" t="s">
        <v>74</v>
      </c>
      <c r="K47" s="23" t="s">
        <v>105</v>
      </c>
      <c r="L47" s="86" t="s">
        <v>51</v>
      </c>
      <c r="M47" s="68">
        <f>F26*$E$61</f>
        <v>200.79102466287577</v>
      </c>
      <c r="N47" s="150"/>
    </row>
    <row r="48" spans="2:19">
      <c r="B48" s="23" t="str">
        <f>FirstOrderEffectsComponents!B12</f>
        <v>Soil Multi-sensor</v>
      </c>
      <c r="C48" s="23" t="s">
        <v>135</v>
      </c>
      <c r="D48" s="23" t="s">
        <v>51</v>
      </c>
      <c r="E48" s="68">
        <f>FirstOrderEffectsComponents!D39</f>
        <v>0.63998688860340003</v>
      </c>
      <c r="F48" s="68">
        <f>E48/Kg_product_soln</f>
        <v>1.7066317029424002E-4</v>
      </c>
      <c r="G48" s="55"/>
      <c r="H48" s="55"/>
      <c r="J48" s="23" t="s">
        <v>77</v>
      </c>
      <c r="K48" s="23" t="s">
        <v>105</v>
      </c>
      <c r="L48" s="86" t="s">
        <v>51</v>
      </c>
      <c r="M48" s="68">
        <f>F27*$E$62</f>
        <v>116.20787694760124</v>
      </c>
      <c r="N48" s="150"/>
    </row>
    <row r="49" spans="2:14">
      <c r="F49" s="55"/>
      <c r="G49" s="55"/>
      <c r="H49" s="55"/>
      <c r="J49" s="23" t="s">
        <v>108</v>
      </c>
      <c r="K49" s="23" t="s">
        <v>109</v>
      </c>
      <c r="L49" s="86" t="s">
        <v>51</v>
      </c>
      <c r="M49" s="68">
        <f>F28*$E$60</f>
        <v>126.67249630000001</v>
      </c>
      <c r="N49" s="150"/>
    </row>
    <row r="50" spans="2:14">
      <c r="F50" s="55"/>
      <c r="G50" s="55"/>
      <c r="H50" s="55"/>
      <c r="J50" s="23" t="s">
        <v>550</v>
      </c>
      <c r="K50" s="23"/>
      <c r="L50" s="86" t="s">
        <v>51</v>
      </c>
      <c r="M50" s="68">
        <f>SUM(M32:M49)</f>
        <v>1339.8686021526955</v>
      </c>
      <c r="N50" s="150"/>
    </row>
    <row r="51" spans="2:14">
      <c r="B51" s="22" t="s">
        <v>136</v>
      </c>
      <c r="C51" s="22" t="s">
        <v>57</v>
      </c>
      <c r="D51" s="22" t="s">
        <v>58</v>
      </c>
      <c r="E51" s="22" t="s">
        <v>65</v>
      </c>
      <c r="G51" s="55"/>
      <c r="H51" s="55"/>
      <c r="J51" s="98" t="s">
        <v>554</v>
      </c>
      <c r="K51" s="23" t="s">
        <v>113</v>
      </c>
      <c r="L51" s="23" t="s">
        <v>52</v>
      </c>
      <c r="M51" s="34">
        <f>M50/E5</f>
        <v>2528.0539663258405</v>
      </c>
    </row>
    <row r="52" spans="2:14">
      <c r="B52" s="61" t="str">
        <f>'Emission Factors'!B9</f>
        <v>YaraMila Elios 13 11 21</v>
      </c>
      <c r="C52" s="61"/>
      <c r="D52" s="23" t="s">
        <v>115</v>
      </c>
      <c r="E52" s="61">
        <f>'Emission Factors'!D9</f>
        <v>6.9</v>
      </c>
      <c r="G52" s="55"/>
      <c r="H52" s="55"/>
      <c r="J52" s="98" t="s">
        <v>555</v>
      </c>
      <c r="K52" s="23" t="s">
        <v>114</v>
      </c>
      <c r="L52" s="86" t="s">
        <v>115</v>
      </c>
      <c r="M52" s="68">
        <f>M50/F40</f>
        <v>0.35729829390738549</v>
      </c>
    </row>
    <row r="53" spans="2:14">
      <c r="B53" s="61" t="str">
        <f>'Emission Factors'!B10</f>
        <v xml:space="preserve">Nutri Leaf 20 20 20 </v>
      </c>
      <c r="C53" s="61"/>
      <c r="D53" s="23" t="s">
        <v>115</v>
      </c>
      <c r="E53" s="61">
        <f>'Emission Factors'!D10</f>
        <v>1.0601100000000001</v>
      </c>
      <c r="G53" s="55"/>
      <c r="H53" s="55"/>
    </row>
    <row r="54" spans="2:14">
      <c r="B54" s="61" t="str">
        <f>'Emission Factors'!B11</f>
        <v>Ammonium Sulfate21 00 00</v>
      </c>
      <c r="C54" s="61"/>
      <c r="D54" s="23" t="s">
        <v>115</v>
      </c>
      <c r="E54" s="151">
        <f>'Emission Factors'!D11</f>
        <v>3.142857142857143E-3</v>
      </c>
      <c r="G54" s="55"/>
      <c r="H54" s="55"/>
      <c r="N54" s="150"/>
    </row>
    <row r="55" spans="2:14">
      <c r="B55" s="61" t="str">
        <f>'Emission Factors'!B12</f>
        <v>Super Organ 4.9 2.9 0.9</v>
      </c>
      <c r="C55" s="61"/>
      <c r="D55" s="23" t="s">
        <v>115</v>
      </c>
      <c r="E55" s="61">
        <f>'Emission Factors'!D12</f>
        <v>0.12638297872340426</v>
      </c>
      <c r="G55" s="55"/>
      <c r="H55" s="55"/>
      <c r="J55" s="2" t="s">
        <v>137</v>
      </c>
    </row>
    <row r="56" spans="2:14">
      <c r="B56" s="61" t="str">
        <f>'Emission Factors'!B13</f>
        <v>Sheep manure</v>
      </c>
      <c r="C56" s="61"/>
      <c r="D56" s="23" t="s">
        <v>115</v>
      </c>
      <c r="E56" s="61">
        <f>'Emission Factors'!D13</f>
        <v>1.1357999999999999</v>
      </c>
      <c r="G56" s="55"/>
      <c r="H56" s="55"/>
      <c r="J56" s="22" t="s">
        <v>63</v>
      </c>
      <c r="K56" s="22" t="s">
        <v>64</v>
      </c>
      <c r="L56" s="22" t="s">
        <v>58</v>
      </c>
      <c r="M56" s="22" t="s">
        <v>65</v>
      </c>
    </row>
    <row r="57" spans="2:14">
      <c r="B57" s="61" t="str">
        <f>'Emission Factors'!B14</f>
        <v xml:space="preserve">Residues </v>
      </c>
      <c r="C57" s="61"/>
      <c r="D57" s="183" t="s">
        <v>115</v>
      </c>
      <c r="E57" s="61">
        <f>'Emission Factors'!D14</f>
        <v>3.2999999999999995E-3</v>
      </c>
      <c r="G57" s="55"/>
      <c r="H57" s="55"/>
      <c r="J57" s="23" t="s">
        <v>617</v>
      </c>
      <c r="K57" s="23" t="s">
        <v>618</v>
      </c>
      <c r="L57" s="86" t="s">
        <v>51</v>
      </c>
      <c r="M57" s="34">
        <f>E44</f>
        <v>89.034539880580809</v>
      </c>
    </row>
    <row r="58" spans="2:14">
      <c r="B58" s="61" t="str">
        <f>'Emission Factors'!B19</f>
        <v xml:space="preserve">Fungicide </v>
      </c>
      <c r="C58" s="61"/>
      <c r="D58" s="23" t="s">
        <v>115</v>
      </c>
      <c r="E58" s="61">
        <f>'Emission Factors'!D19</f>
        <v>14.3</v>
      </c>
      <c r="G58" s="55"/>
      <c r="H58" s="55"/>
      <c r="J58" s="23" t="s">
        <v>138</v>
      </c>
      <c r="K58" s="23" t="s">
        <v>139</v>
      </c>
      <c r="L58" s="86" t="s">
        <v>51</v>
      </c>
      <c r="M58" s="34">
        <f>E45</f>
        <v>0.47999016645254999</v>
      </c>
    </row>
    <row r="59" spans="2:14">
      <c r="B59" s="61" t="str">
        <f>'Emission Factors'!B20</f>
        <v>Insecticide</v>
      </c>
      <c r="C59" s="61"/>
      <c r="D59" s="23" t="s">
        <v>115</v>
      </c>
      <c r="E59" s="61">
        <f>'Emission Factors'!D20</f>
        <v>18.7</v>
      </c>
      <c r="G59" s="55"/>
      <c r="H59" s="55"/>
      <c r="J59" s="23" t="s">
        <v>140</v>
      </c>
      <c r="K59" s="23" t="s">
        <v>141</v>
      </c>
      <c r="L59" s="86" t="s">
        <v>51</v>
      </c>
      <c r="M59" s="34">
        <f>E46</f>
        <v>0.53548580995100004</v>
      </c>
    </row>
    <row r="60" spans="2:14">
      <c r="B60" s="23" t="str">
        <f>'Emission Factors'!B25</f>
        <v>Water</v>
      </c>
      <c r="C60" s="23"/>
      <c r="D60" s="23" t="s">
        <v>146</v>
      </c>
      <c r="E60" s="173">
        <f>'Emission Factors'!D25</f>
        <v>0.15311</v>
      </c>
      <c r="G60" s="55"/>
      <c r="H60" s="55"/>
      <c r="J60" s="23" t="s">
        <v>142</v>
      </c>
      <c r="K60" s="23" t="s">
        <v>143</v>
      </c>
      <c r="L60" s="86" t="s">
        <v>51</v>
      </c>
      <c r="M60" s="34">
        <f>E47</f>
        <v>0.63998688860340025</v>
      </c>
    </row>
    <row r="61" spans="2:14">
      <c r="B61" s="23" t="str">
        <f>'Emission Factors'!B29</f>
        <v>Petrol</v>
      </c>
      <c r="C61" s="23"/>
      <c r="D61" s="23" t="s">
        <v>149</v>
      </c>
      <c r="E61" s="24">
        <f>'Emission Factors'!D29</f>
        <v>2.3622445698637504</v>
      </c>
      <c r="G61" s="55"/>
      <c r="H61" s="55"/>
      <c r="J61" s="23" t="s">
        <v>144</v>
      </c>
      <c r="K61" s="23" t="s">
        <v>145</v>
      </c>
      <c r="L61" s="86" t="s">
        <v>51</v>
      </c>
      <c r="M61" s="34">
        <f>E48</f>
        <v>0.63998688860340003</v>
      </c>
    </row>
    <row r="62" spans="2:14">
      <c r="B62" s="23" t="str">
        <f>'Emission Factors'!B30</f>
        <v>Diesel</v>
      </c>
      <c r="C62" s="23"/>
      <c r="D62" s="23" t="s">
        <v>149</v>
      </c>
      <c r="E62" s="24">
        <f>'Emission Factors'!D30</f>
        <v>2.6350992505124999</v>
      </c>
      <c r="F62" s="56"/>
      <c r="G62" s="55"/>
      <c r="H62" s="55"/>
      <c r="J62" s="23" t="s">
        <v>147</v>
      </c>
      <c r="K62" s="23" t="s">
        <v>148</v>
      </c>
      <c r="L62" s="71" t="s">
        <v>51</v>
      </c>
      <c r="M62" s="34">
        <f>SUM(M57:M61)</f>
        <v>91.329989634191165</v>
      </c>
    </row>
    <row r="63" spans="2:14">
      <c r="B63" s="23" t="str">
        <f>'Emission Factors'!B5</f>
        <v>Grid Electricity - Greece electricity - 2024</v>
      </c>
      <c r="C63" s="23"/>
      <c r="D63" s="23" t="s">
        <v>150</v>
      </c>
      <c r="E63" s="24">
        <f>'Emission Factors'!C5</f>
        <v>0.32200000000000001</v>
      </c>
      <c r="G63" s="55"/>
      <c r="H63" s="55"/>
    </row>
    <row r="64" spans="2:14">
      <c r="B64" s="23" t="str">
        <f>'Emission Factors'!B34</f>
        <v>Electrical items - IT</v>
      </c>
      <c r="C64" s="23" t="str">
        <f>'Emission Factors'!C34</f>
        <v>Electrical Items</v>
      </c>
      <c r="D64" s="23" t="s">
        <v>115</v>
      </c>
      <c r="E64" s="24">
        <f>'Emission Factors'!D34</f>
        <v>24.86547556</v>
      </c>
      <c r="G64" s="55"/>
      <c r="H64" s="55"/>
    </row>
    <row r="65" spans="2:15">
      <c r="B65" s="23" t="str">
        <f>'Emission Factors'!B36</f>
        <v>Batteries - Li ion</v>
      </c>
      <c r="C65" s="23" t="str">
        <f>'Emission Factors'!C36</f>
        <v>Electrical Items</v>
      </c>
      <c r="D65" s="23" t="s">
        <v>115</v>
      </c>
      <c r="E65" s="24">
        <f>'Emission Factors'!D36</f>
        <v>3.1647804900000001</v>
      </c>
      <c r="G65" s="55"/>
      <c r="H65" s="55"/>
      <c r="J65" s="62" t="s">
        <v>151</v>
      </c>
      <c r="K65" s="63"/>
      <c r="L65" s="64"/>
      <c r="M65" s="64"/>
    </row>
    <row r="66" spans="2:15">
      <c r="B66" s="23" t="str">
        <f>'Emission Factors'!B37</f>
        <v>Plastics: average plastics</v>
      </c>
      <c r="C66" s="23" t="str">
        <f>'Emission Factors'!C37</f>
        <v>Average Plastic</v>
      </c>
      <c r="D66" s="23" t="s">
        <v>115</v>
      </c>
      <c r="E66" s="24">
        <f>'Emission Factors'!D37</f>
        <v>3.17249932</v>
      </c>
      <c r="J66" s="65" t="s">
        <v>63</v>
      </c>
      <c r="K66" s="65" t="s">
        <v>64</v>
      </c>
      <c r="L66" s="65" t="s">
        <v>58</v>
      </c>
      <c r="M66" s="65" t="s">
        <v>65</v>
      </c>
    </row>
    <row r="67" spans="2:15">
      <c r="B67" s="23" t="str">
        <f>'Emission Factors'!B38</f>
        <v>Metals</v>
      </c>
      <c r="C67" s="23" t="str">
        <f>'Emission Factors'!C38</f>
        <v>Average Metals</v>
      </c>
      <c r="D67" s="23" t="s">
        <v>115</v>
      </c>
      <c r="E67" s="24">
        <f>'Emission Factors'!D38</f>
        <v>5.1330100000000005</v>
      </c>
      <c r="J67" s="66" t="s">
        <v>570</v>
      </c>
      <c r="K67" s="70" t="s">
        <v>601</v>
      </c>
      <c r="L67" s="71" t="s">
        <v>51</v>
      </c>
      <c r="M67" s="102">
        <f>M25-M50</f>
        <v>2052.6969307450277</v>
      </c>
    </row>
    <row r="68" spans="2:15">
      <c r="B68" s="23" t="str">
        <f>'Emission Factors'!B42</f>
        <v>Electrical Items</v>
      </c>
      <c r="C68" s="23" t="str">
        <f>'Emission Factors'!C42</f>
        <v>WEEE - large, average landfill and recycling</v>
      </c>
      <c r="D68" s="23" t="s">
        <v>115</v>
      </c>
      <c r="E68" s="24">
        <f>'Emission Factors'!D42</f>
        <v>7.6472350000000005E-3</v>
      </c>
    </row>
    <row r="69" spans="2:15">
      <c r="B69" s="23" t="str">
        <f>'Emission Factors'!B43</f>
        <v>Electrical Items</v>
      </c>
      <c r="C69" s="23" t="str">
        <f>'Emission Factors'!C43</f>
        <v>WEEE - mixed, average landfill and recycling</v>
      </c>
      <c r="D69" s="23" t="s">
        <v>115</v>
      </c>
      <c r="E69" s="24">
        <f>'Emission Factors'!D43</f>
        <v>7.6472350000000005E-3</v>
      </c>
      <c r="O69" s="150"/>
    </row>
    <row r="70" spans="2:15">
      <c r="B70" s="23" t="str">
        <f>'Emission Factors'!B44</f>
        <v>Electrical Items</v>
      </c>
      <c r="C70" s="23" t="str">
        <f>'Emission Factors'!C44</f>
        <v>WEEE - small, average landfill and recycling</v>
      </c>
      <c r="D70" s="23" t="s">
        <v>115</v>
      </c>
      <c r="E70" s="24">
        <f>'Emission Factors'!D44</f>
        <v>7.6472350000000005E-3</v>
      </c>
      <c r="J70" s="62" t="s">
        <v>152</v>
      </c>
    </row>
    <row r="71" spans="2:15">
      <c r="B71" s="23" t="str">
        <f>'Emission Factors'!B45</f>
        <v>Average Plastic</v>
      </c>
      <c r="C71" s="23" t="str">
        <f>'Emission Factors'!C45</f>
        <v>Plastics: average plastics, average landfill and recycling</v>
      </c>
      <c r="D71" s="23" t="s">
        <v>115</v>
      </c>
      <c r="E71" s="24">
        <f>'Emission Factors'!D45</f>
        <v>7.6472350000000005E-3</v>
      </c>
      <c r="J71" s="65" t="s">
        <v>63</v>
      </c>
      <c r="K71" s="65" t="s">
        <v>64</v>
      </c>
      <c r="L71" s="65" t="s">
        <v>58</v>
      </c>
      <c r="M71" s="73" t="s">
        <v>65</v>
      </c>
    </row>
    <row r="72" spans="2:15" ht="39">
      <c r="J72" s="66" t="s">
        <v>571</v>
      </c>
      <c r="K72" s="70" t="s">
        <v>602</v>
      </c>
      <c r="L72" s="71" t="s">
        <v>52</v>
      </c>
      <c r="M72" s="187">
        <f>M51-M26</f>
        <v>-3873.0130768774106</v>
      </c>
    </row>
    <row r="73" spans="2:15" ht="39">
      <c r="J73" s="66" t="s">
        <v>153</v>
      </c>
      <c r="K73" s="70" t="s">
        <v>602</v>
      </c>
      <c r="L73" s="71" t="s">
        <v>51</v>
      </c>
      <c r="M73" s="187">
        <f>M72*E5</f>
        <v>-2052.6969307450277</v>
      </c>
    </row>
    <row r="74" spans="2:15">
      <c r="B74" s="2" t="s">
        <v>156</v>
      </c>
      <c r="J74" s="66" t="s">
        <v>154</v>
      </c>
      <c r="K74" s="70" t="s">
        <v>155</v>
      </c>
      <c r="L74" s="71" t="s">
        <v>51</v>
      </c>
      <c r="M74" s="187">
        <f>M62+M73</f>
        <v>-1961.3669411108365</v>
      </c>
    </row>
    <row r="75" spans="2:15">
      <c r="B75" s="73" t="s">
        <v>157</v>
      </c>
      <c r="C75" s="73" t="s">
        <v>158</v>
      </c>
      <c r="D75" s="22" t="s">
        <v>58</v>
      </c>
      <c r="E75" s="79" t="s">
        <v>65</v>
      </c>
    </row>
    <row r="76" spans="2:15">
      <c r="B76" s="23" t="s">
        <v>160</v>
      </c>
      <c r="C76" s="23" t="str">
        <f>'Reference Data'!C26</f>
        <v>YaraMila ELIOS (13-11-21)</v>
      </c>
      <c r="D76" s="23" t="str">
        <f>'Reference Data'!E26</f>
        <v>kg of Nitrogen</v>
      </c>
      <c r="E76" s="34">
        <f>'Reference Data'!D26</f>
        <v>37.901890000000009</v>
      </c>
    </row>
    <row r="77" spans="2:15">
      <c r="B77" s="23" t="s">
        <v>160</v>
      </c>
      <c r="C77" s="23" t="str">
        <f>'Reference Data'!C27</f>
        <v>Nutri Leaf (20-20-20)</v>
      </c>
      <c r="D77" s="23" t="str">
        <f>'Reference Data'!E27</f>
        <v>kg of Nitrogen</v>
      </c>
      <c r="E77" s="34">
        <f>'Reference Data'!D27</f>
        <v>0.63600000000000012</v>
      </c>
      <c r="J77" s="62" t="s">
        <v>159</v>
      </c>
    </row>
    <row r="78" spans="2:15">
      <c r="B78" s="23" t="s">
        <v>160</v>
      </c>
      <c r="C78" s="23" t="str">
        <f>'Reference Data'!C28</f>
        <v>Ammonium Sulfate (21-0-0)</v>
      </c>
      <c r="D78" s="23" t="str">
        <f>'Reference Data'!E28</f>
        <v>kg of Nitrogen</v>
      </c>
      <c r="E78" s="34">
        <f>'Reference Data'!D28</f>
        <v>30.659811000000005</v>
      </c>
      <c r="J78" s="65" t="s">
        <v>63</v>
      </c>
      <c r="K78" s="65" t="s">
        <v>64</v>
      </c>
      <c r="L78" s="65" t="s">
        <v>58</v>
      </c>
      <c r="M78" s="73" t="s">
        <v>65</v>
      </c>
    </row>
    <row r="79" spans="2:15" ht="39">
      <c r="B79" s="23" t="s">
        <v>160</v>
      </c>
      <c r="C79" s="23" t="str">
        <f>'Reference Data'!C33</f>
        <v>Fungicide (copper oxide Nordox 75wg)</v>
      </c>
      <c r="D79" s="23" t="str">
        <f>'Reference Data'!E33</f>
        <v>kg of active ingredient</v>
      </c>
      <c r="E79" s="34">
        <f>'Reference Data'!D33</f>
        <v>0.59625000000000006</v>
      </c>
      <c r="J79" s="66" t="s">
        <v>572</v>
      </c>
      <c r="K79" s="70" t="s">
        <v>602</v>
      </c>
      <c r="L79" s="71" t="s">
        <v>161</v>
      </c>
      <c r="M79" s="187">
        <f>M52-M27</f>
        <v>-0.58508102078642654</v>
      </c>
    </row>
    <row r="80" spans="2:15" ht="39">
      <c r="B80" s="23" t="s">
        <v>160</v>
      </c>
      <c r="C80" s="23" t="str">
        <f>'Reference Data'!C34</f>
        <v>Insecticide (Selanox 2.5wg, lambda cyhalothrin)</v>
      </c>
      <c r="D80" s="23" t="str">
        <f>'Reference Data'!E34</f>
        <v>kg of active ingredient</v>
      </c>
      <c r="E80" s="34">
        <f>'Reference Data'!D34</f>
        <v>3.3125000000000002E-2</v>
      </c>
      <c r="J80" s="66" t="s">
        <v>153</v>
      </c>
      <c r="K80" s="70" t="s">
        <v>602</v>
      </c>
      <c r="L80" s="71" t="s">
        <v>51</v>
      </c>
      <c r="M80" s="187">
        <f>M79*F40</f>
        <v>-2194.0538279490997</v>
      </c>
    </row>
    <row r="81" spans="2:13">
      <c r="B81" s="23" t="s">
        <v>160</v>
      </c>
      <c r="C81" s="23" t="str">
        <f>'Reference Data'!C35</f>
        <v>Fungicide (copper hydroxide Corona 30wg)</v>
      </c>
      <c r="D81" s="23" t="str">
        <f>'Reference Data'!E35</f>
        <v>kg of active ingredient</v>
      </c>
      <c r="E81" s="34">
        <f>'Reference Data'!D35</f>
        <v>0.25440000000000002</v>
      </c>
      <c r="J81" s="66" t="s">
        <v>154</v>
      </c>
      <c r="K81" s="70" t="s">
        <v>155</v>
      </c>
      <c r="L81" s="71" t="s">
        <v>51</v>
      </c>
      <c r="M81" s="187">
        <f>M62+M80</f>
        <v>-2102.7238383149088</v>
      </c>
    </row>
    <row r="82" spans="2:13">
      <c r="B82" s="23" t="s">
        <v>160</v>
      </c>
      <c r="C82" s="23" t="str">
        <f>'Reference Data'!C36</f>
        <v>Insecticide (Success 0,24 CB, Spinosad)</v>
      </c>
      <c r="D82" s="23" t="str">
        <f>'Reference Data'!E36</f>
        <v>kg of active ingredient</v>
      </c>
      <c r="E82" s="34">
        <f>'Reference Data'!D36</f>
        <v>0.318</v>
      </c>
    </row>
    <row r="83" spans="2:13">
      <c r="B83" s="23" t="s">
        <v>162</v>
      </c>
      <c r="C83" s="23" t="str">
        <f>'Reference Data'!C55</f>
        <v>Ammonium Sulfate (21-0-0)</v>
      </c>
      <c r="D83" s="23" t="str">
        <f>'Reference Data'!E55</f>
        <v>kg of Nitrogen</v>
      </c>
      <c r="E83" s="34">
        <f>'Reference Data'!D55</f>
        <v>30.659811000000005</v>
      </c>
    </row>
    <row r="84" spans="2:13">
      <c r="B84" s="23" t="s">
        <v>162</v>
      </c>
      <c r="C84" s="23" t="str">
        <f>'Reference Data'!C56</f>
        <v>SuperOrgan (4.9-2.9-0.9)</v>
      </c>
      <c r="D84" s="23" t="str">
        <f>'Reference Data'!E56</f>
        <v>kg of Nitrogen</v>
      </c>
      <c r="E84" s="34">
        <f>'Reference Data'!D56</f>
        <v>7.1521380000000006E-3</v>
      </c>
    </row>
    <row r="85" spans="2:13">
      <c r="B85" s="23" t="s">
        <v>162</v>
      </c>
      <c r="C85" s="23" t="str">
        <f>'Reference Data'!C57</f>
        <v>Nutri Leaf (20-20-20)</v>
      </c>
      <c r="D85" s="23" t="str">
        <f>'Reference Data'!E57</f>
        <v>kg of Nitrogen</v>
      </c>
      <c r="E85" s="34">
        <f>'Reference Data'!D57</f>
        <v>0.42400000000000004</v>
      </c>
    </row>
    <row r="86" spans="2:13">
      <c r="B86" s="23" t="s">
        <v>162</v>
      </c>
      <c r="C86" s="23" t="str">
        <f>'Reference Data'!C62</f>
        <v>Fungicide (copper oxide Nordox 75wg)</v>
      </c>
      <c r="D86" s="23" t="s">
        <v>163</v>
      </c>
      <c r="E86" s="34">
        <f>'Reference Data'!D62</f>
        <v>0</v>
      </c>
    </row>
    <row r="87" spans="2:13">
      <c r="B87" s="23" t="s">
        <v>162</v>
      </c>
      <c r="C87" s="23" t="str">
        <f>'Reference Data'!C63</f>
        <v>Insecticide (Selanox 2.5wg, lambda cyhalothrin)</v>
      </c>
      <c r="D87" s="23" t="s">
        <v>163</v>
      </c>
      <c r="E87" s="34">
        <f>'Reference Data'!D63</f>
        <v>0</v>
      </c>
    </row>
    <row r="88" spans="2:13">
      <c r="B88" s="23" t="s">
        <v>162</v>
      </c>
      <c r="C88" s="23" t="str">
        <f>'Reference Data'!C64</f>
        <v>Volume of insecticide (Success 0,24 CB, Spinosad)</v>
      </c>
      <c r="D88" s="23" t="s">
        <v>163</v>
      </c>
      <c r="E88" s="34">
        <f>'Reference Data'!D64</f>
        <v>0.318</v>
      </c>
    </row>
    <row r="89" spans="2:13">
      <c r="B89" s="23" t="s">
        <v>162</v>
      </c>
      <c r="C89" s="23" t="str">
        <f>'Reference Data'!C65</f>
        <v>Volume of fungicide (copper hydroxide Corona 30wg)</v>
      </c>
      <c r="D89" s="23" t="s">
        <v>163</v>
      </c>
      <c r="E89" s="34">
        <f>'Reference Data'!D65</f>
        <v>0.25440000000000002</v>
      </c>
    </row>
    <row r="92" spans="2:13">
      <c r="B92" s="77" t="s">
        <v>164</v>
      </c>
      <c r="C92" s="77" t="s">
        <v>165</v>
      </c>
      <c r="D92" s="77" t="s">
        <v>166</v>
      </c>
    </row>
    <row r="93" spans="2:13">
      <c r="B93" s="23" t="s">
        <v>167</v>
      </c>
      <c r="C93" s="34">
        <f>'Reference Data'!H105</f>
        <v>0.78823494750000023</v>
      </c>
      <c r="D93" s="34">
        <f>'Reference Data'!H106</f>
        <v>0.72815242500000021</v>
      </c>
    </row>
    <row r="94" spans="2:13">
      <c r="B94" s="23" t="s">
        <v>91</v>
      </c>
      <c r="C94" s="34">
        <f>'Reference Data'!J100</f>
        <v>1.0261891301376</v>
      </c>
      <c r="D94" s="167"/>
    </row>
    <row r="96" spans="2:13">
      <c r="B96" s="158" t="s">
        <v>168</v>
      </c>
      <c r="C96" s="158" t="s">
        <v>169</v>
      </c>
      <c r="D96" s="22" t="s">
        <v>58</v>
      </c>
      <c r="E96" s="73" t="s">
        <v>170</v>
      </c>
    </row>
    <row r="97" spans="2:5">
      <c r="B97" s="23" t="str">
        <f>'Emission Factors'!B55</f>
        <v>GWP₁₀₀ of N₂O</v>
      </c>
      <c r="C97" s="23" t="s">
        <v>171</v>
      </c>
      <c r="D97" s="23" t="str">
        <f>'Emission Factors'!C55</f>
        <v>kgCO2e/kgN2O</v>
      </c>
      <c r="E97" s="24">
        <f>'Emission Factors'!D55</f>
        <v>273</v>
      </c>
    </row>
    <row r="98" spans="2:5">
      <c r="B98" s="61" t="str">
        <f>'Emission Factors'!B57</f>
        <v>Direct N20 emissions from fertiliser</v>
      </c>
      <c r="C98" s="61" t="str">
        <f>'Emission Factors'!C57</f>
        <v>EF1 for N additions from mineral fertilisers, organic amendments and crop residues, and N mineralised from mineral soil as a result of loss of soil carbon [kg N2O-N (kg N)^(-1)]</v>
      </c>
      <c r="D98" s="183" t="s">
        <v>172</v>
      </c>
      <c r="E98" s="61">
        <f>'Emission Factors'!D57</f>
        <v>0.01</v>
      </c>
    </row>
    <row r="99" spans="2:5">
      <c r="B99" s="23" t="s">
        <v>173</v>
      </c>
      <c r="C99" s="23"/>
      <c r="D99" s="23" t="s">
        <v>174</v>
      </c>
      <c r="E99" s="34">
        <f>'Emission Factors'!D56</f>
        <v>1.5714285714285714</v>
      </c>
    </row>
    <row r="101" spans="2:5">
      <c r="B101" s="2" t="s">
        <v>175</v>
      </c>
    </row>
    <row r="102" spans="2:5">
      <c r="B102" s="45" t="s">
        <v>176</v>
      </c>
    </row>
    <row r="103" spans="2:5">
      <c r="B103" s="158" t="str">
        <f>'Emission Factors'!B50</f>
        <v>Conversion Factors</v>
      </c>
      <c r="C103" s="158" t="str">
        <f>'Emission Factors'!C50</f>
        <v>IPCC Coefficient</v>
      </c>
      <c r="D103" s="158" t="str">
        <f>'Emission Factors'!D50</f>
        <v>Coefficient</v>
      </c>
    </row>
    <row r="104" spans="2:5">
      <c r="B104" s="23" t="str">
        <f>'Emission Factors'!B51</f>
        <v>Volatilisation</v>
      </c>
      <c r="C104" s="23" t="str">
        <f>'Emission Factors'!C51</f>
        <v>FracGASM [Volatilisation from all organic N fertilisers applied, and dung and urine deposited by grazing animals], (kg NH3-N + NOx-N) (kg N applied or deposited)^-1</v>
      </c>
      <c r="D104" s="23">
        <f>'Emission Factors'!D51</f>
        <v>0.21</v>
      </c>
    </row>
    <row r="105" spans="2:5">
      <c r="B105" s="23" t="str">
        <f>'Emission Factors'!B52</f>
        <v>Volatilisation</v>
      </c>
      <c r="C105" s="23" t="str">
        <f>'Emission Factors'!C52</f>
        <v>EF4 [N volatilisation and re-deposition], kg N2O-N (kg NH3-N + NOx-N volatilised)^-1</v>
      </c>
      <c r="D105" s="23">
        <f>'Emission Factors'!D52</f>
        <v>0.01</v>
      </c>
    </row>
    <row r="106" spans="2:5">
      <c r="B106" s="23" t="str">
        <f>'Emission Factors'!B53</f>
        <v>Leaching/Runoff</v>
      </c>
      <c r="C106" s="23" t="str">
        <f>'Emission Factors'!C53</f>
        <v>FracLEACH-(H) [N losses by leaching/runoff in wet climates], kg N (kg N additions or deposition by grazing animals)^-1</v>
      </c>
      <c r="D106" s="23">
        <f>'Emission Factors'!D53</f>
        <v>0.24</v>
      </c>
    </row>
    <row r="107" spans="2:5">
      <c r="B107" s="23" t="str">
        <f>'Emission Factors'!B54</f>
        <v>Leaching/Runoff</v>
      </c>
      <c r="C107" s="23" t="str">
        <f>'Emission Factors'!C54</f>
        <v>EF5 [leaching/runoff], kg N2O-N (kg N leaching/runoff)^-1</v>
      </c>
      <c r="D107" s="23">
        <f>'Emission Factors'!D54</f>
        <v>1.0999999999999999E-2</v>
      </c>
    </row>
    <row r="109" spans="2:5">
      <c r="B109" s="158" t="s">
        <v>573</v>
      </c>
      <c r="C109" s="158" t="s">
        <v>574</v>
      </c>
    </row>
    <row r="110" spans="2:5">
      <c r="B110" s="23">
        <f>'Reference Data'!$B$95</f>
        <v>2.0999999999999999E-3</v>
      </c>
      <c r="C110" s="156">
        <f>'Reference Data'!$C$95</f>
        <v>2.6399999999999996E-3</v>
      </c>
    </row>
  </sheetData>
  <phoneticPr fontId="7" type="noConversion"/>
  <pageMargins left="0.7" right="0.7" top="0.75" bottom="0.75" header="0.3" footer="0.3"/>
  <ignoredErrors>
    <ignoredError sqref="M6 B52:B59 E52:E59 B98:C98 E9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193A8-23B9-4709-B2BF-941F6C32B58D}">
  <sheetPr>
    <tabColor rgb="FFA6D9F7"/>
  </sheetPr>
  <dimension ref="B2:R50"/>
  <sheetViews>
    <sheetView showGridLines="0" topLeftCell="A38" zoomScaleNormal="100" workbookViewId="0">
      <selection activeCell="D40" sqref="D40"/>
    </sheetView>
  </sheetViews>
  <sheetFormatPr defaultColWidth="8.75" defaultRowHeight="19.5"/>
  <cols>
    <col min="1" max="1" width="3.75" style="3" customWidth="1"/>
    <col min="2" max="2" width="28" style="3" customWidth="1"/>
    <col min="3" max="3" width="28.25" style="3" customWidth="1"/>
    <col min="4" max="4" width="44.5" style="3" bestFit="1" customWidth="1"/>
    <col min="5" max="5" width="21.75" style="3" customWidth="1"/>
    <col min="6" max="6" width="20.25" style="3" customWidth="1"/>
    <col min="7" max="7" width="15.75" style="3" customWidth="1"/>
    <col min="8" max="8" width="18.75" style="3" customWidth="1"/>
    <col min="9" max="9" width="15.5" style="3" customWidth="1"/>
    <col min="10" max="12" width="11.25" style="3" customWidth="1"/>
    <col min="13" max="14" width="11.25" style="4" customWidth="1"/>
    <col min="15" max="16" width="18.5" style="4" customWidth="1"/>
    <col min="17" max="17" width="18.5" style="3" customWidth="1"/>
    <col min="18" max="18" width="11.5" style="3" customWidth="1"/>
    <col min="19" max="19" width="8.75" style="3" customWidth="1"/>
    <col min="20" max="20" width="19.125" style="3" customWidth="1"/>
    <col min="21" max="21" width="10.75" style="3" customWidth="1"/>
    <col min="22" max="22" width="25.625" style="3" customWidth="1"/>
    <col min="23" max="16384" width="8.75" style="3"/>
  </cols>
  <sheetData>
    <row r="2" spans="2:17">
      <c r="B2" s="2" t="s">
        <v>558</v>
      </c>
    </row>
    <row r="3" spans="2:17">
      <c r="B3" s="3" t="s">
        <v>559</v>
      </c>
    </row>
    <row r="4" spans="2:17" ht="39">
      <c r="C4" s="192" t="s">
        <v>181</v>
      </c>
      <c r="D4" s="192" t="s">
        <v>182</v>
      </c>
      <c r="E4" s="192" t="s">
        <v>188</v>
      </c>
      <c r="F4" s="192" t="s">
        <v>189</v>
      </c>
      <c r="G4" s="192" t="s">
        <v>190</v>
      </c>
    </row>
    <row r="5" spans="2:17">
      <c r="B5" s="193"/>
      <c r="C5" s="197" t="s">
        <v>192</v>
      </c>
      <c r="D5" s="197" t="str">
        <f t="shared" ref="D5:D11" si="0">D17</f>
        <v>gaiaTron Station (v3.1, incl. mast)</v>
      </c>
      <c r="E5" s="10">
        <f>O17*O24</f>
        <v>89.034539880580809</v>
      </c>
      <c r="F5" s="10">
        <f>P17*P24</f>
        <v>207.59718287050649</v>
      </c>
      <c r="G5" s="10">
        <f>Q17*Q24</f>
        <v>38.185245012170881</v>
      </c>
    </row>
    <row r="6" spans="2:17">
      <c r="B6" s="194"/>
      <c r="C6" s="197" t="s">
        <v>192</v>
      </c>
      <c r="D6" s="197" t="str">
        <f t="shared" si="0"/>
        <v>Solar Radiation Sensor</v>
      </c>
      <c r="E6" s="10">
        <f t="shared" ref="E6:E11" si="1">O18*O25</f>
        <v>0.47999016645254999</v>
      </c>
      <c r="F6" s="10">
        <f t="shared" ref="F6:G11" si="2">P18*P25</f>
        <v>1.1191679823891381</v>
      </c>
      <c r="G6" s="10">
        <f t="shared" si="2"/>
        <v>0.20585878395066451</v>
      </c>
    </row>
    <row r="7" spans="2:17">
      <c r="B7" s="194"/>
      <c r="C7" s="197" t="s">
        <v>192</v>
      </c>
      <c r="D7" s="197" t="str">
        <f t="shared" si="0"/>
        <v>Air Temperature &amp; Humidity Sensor</v>
      </c>
      <c r="E7" s="10">
        <f t="shared" si="1"/>
        <v>0.53548580995100004</v>
      </c>
      <c r="F7" s="10">
        <f t="shared" si="2"/>
        <v>1.2485642736185483</v>
      </c>
      <c r="G7" s="10">
        <f t="shared" si="2"/>
        <v>0.22965982506278462</v>
      </c>
    </row>
    <row r="8" spans="2:17">
      <c r="B8" s="194" t="s">
        <v>200</v>
      </c>
      <c r="C8" s="197" t="s">
        <v>196</v>
      </c>
      <c r="D8" s="197" t="str">
        <f t="shared" si="0"/>
        <v>Leaf Wetness Sensor</v>
      </c>
      <c r="E8" s="10">
        <f t="shared" si="1"/>
        <v>0.63998688860340014</v>
      </c>
      <c r="F8" s="10">
        <f t="shared" si="2"/>
        <v>1.4922239765188512</v>
      </c>
      <c r="G8" s="10">
        <f t="shared" si="2"/>
        <v>0.27447837860088603</v>
      </c>
    </row>
    <row r="9" spans="2:17">
      <c r="B9" s="194"/>
      <c r="C9" s="197" t="s">
        <v>196</v>
      </c>
      <c r="D9" s="197" t="str">
        <f t="shared" si="0"/>
        <v>Soil Multi-sensor</v>
      </c>
      <c r="E9" s="10">
        <f t="shared" si="1"/>
        <v>0.63998688860340003</v>
      </c>
      <c r="F9" s="10">
        <f t="shared" si="2"/>
        <v>1.492223976518851</v>
      </c>
      <c r="G9" s="10">
        <f t="shared" si="2"/>
        <v>0.27447837860088603</v>
      </c>
    </row>
    <row r="10" spans="2:17">
      <c r="B10" s="194"/>
      <c r="C10" s="197" t="s">
        <v>196</v>
      </c>
      <c r="D10" s="197" t="str">
        <f t="shared" si="0"/>
        <v>Fertiliser, Insecticide, Fungicide emissions</v>
      </c>
      <c r="E10" s="10">
        <f>O22*O29</f>
        <v>-2183.1732906092225</v>
      </c>
      <c r="F10" s="10">
        <f t="shared" si="2"/>
        <v>-2741.1528121333786</v>
      </c>
      <c r="G10" s="10">
        <f t="shared" si="2"/>
        <v>-1738.774137557124</v>
      </c>
    </row>
    <row r="11" spans="2:17">
      <c r="B11" s="195"/>
      <c r="C11" s="197" t="s">
        <v>196</v>
      </c>
      <c r="D11" s="197" t="str">
        <f t="shared" si="0"/>
        <v>Electricity, Fuel, Water emissions</v>
      </c>
      <c r="E11" s="10">
        <f t="shared" si="1"/>
        <v>-10.880537339876678</v>
      </c>
      <c r="F11" s="10">
        <f t="shared" si="2"/>
        <v>-16.68844208577082</v>
      </c>
      <c r="G11" s="10">
        <f t="shared" si="2"/>
        <v>-7.0938972131731219</v>
      </c>
    </row>
    <row r="12" spans="2:17">
      <c r="C12" s="198" t="s">
        <v>230</v>
      </c>
      <c r="D12" s="199"/>
      <c r="E12" s="10">
        <f>SUM(E5:E11)/1000</f>
        <v>-2.1027238383149083</v>
      </c>
      <c r="F12" s="10">
        <f>SUM(F5:F11)/1000</f>
        <v>-2.5448918911395975</v>
      </c>
      <c r="G12" s="10">
        <f>SUM(G5:G11)/1000</f>
        <v>-1.706698314391911</v>
      </c>
    </row>
    <row r="13" spans="2:17">
      <c r="C13" s="198" t="s">
        <v>231</v>
      </c>
      <c r="D13" s="200"/>
      <c r="E13" s="196"/>
      <c r="F13" s="49">
        <f>F12-$E$12</f>
        <v>-0.44216805282468918</v>
      </c>
      <c r="G13" s="49">
        <f>G12-$E$12</f>
        <v>0.39602552392299728</v>
      </c>
      <c r="H13" s="212">
        <f>-G13</f>
        <v>-0.39602552392299728</v>
      </c>
    </row>
    <row r="14" spans="2:17">
      <c r="C14" s="201"/>
      <c r="D14" s="202"/>
      <c r="E14" s="203"/>
      <c r="F14" s="203"/>
      <c r="G14" s="204"/>
      <c r="H14" s="205"/>
    </row>
    <row r="15" spans="2:17" ht="18.75" customHeight="1">
      <c r="E15" s="229" t="s">
        <v>177</v>
      </c>
      <c r="F15" s="229"/>
      <c r="G15" s="229"/>
      <c r="H15" s="229"/>
      <c r="I15" s="229"/>
      <c r="J15" s="230" t="s">
        <v>178</v>
      </c>
      <c r="K15" s="230"/>
      <c r="L15" s="230"/>
      <c r="M15" s="230"/>
      <c r="N15" s="230"/>
      <c r="O15" s="231" t="s">
        <v>179</v>
      </c>
      <c r="P15" s="232"/>
      <c r="Q15" s="233"/>
    </row>
    <row r="16" spans="2:17" ht="37.5" customHeight="1">
      <c r="B16" s="5" t="s">
        <v>180</v>
      </c>
      <c r="C16" s="6" t="s">
        <v>181</v>
      </c>
      <c r="D16" s="6" t="s">
        <v>182</v>
      </c>
      <c r="E16" s="206" t="s">
        <v>183</v>
      </c>
      <c r="F16" s="207" t="s">
        <v>184</v>
      </c>
      <c r="G16" s="206" t="s">
        <v>29</v>
      </c>
      <c r="H16" s="207" t="s">
        <v>185</v>
      </c>
      <c r="I16" s="207" t="s">
        <v>186</v>
      </c>
      <c r="J16" s="211" t="s">
        <v>183</v>
      </c>
      <c r="K16" s="192" t="s">
        <v>184</v>
      </c>
      <c r="L16" s="211" t="s">
        <v>29</v>
      </c>
      <c r="M16" s="192" t="s">
        <v>185</v>
      </c>
      <c r="N16" s="211" t="s">
        <v>187</v>
      </c>
      <c r="O16" s="192" t="s">
        <v>188</v>
      </c>
      <c r="P16" s="192" t="s">
        <v>189</v>
      </c>
      <c r="Q16" s="192" t="s">
        <v>190</v>
      </c>
    </row>
    <row r="17" spans="2:18" ht="18.600000000000001" customHeight="1">
      <c r="B17" s="234" t="s">
        <v>191</v>
      </c>
      <c r="C17" s="7" t="s">
        <v>192</v>
      </c>
      <c r="D17" s="8" t="s">
        <v>617</v>
      </c>
      <c r="E17" s="208" t="s">
        <v>193</v>
      </c>
      <c r="F17" s="209" t="s">
        <v>194</v>
      </c>
      <c r="G17" s="209" t="s">
        <v>194</v>
      </c>
      <c r="H17" s="210" t="s">
        <v>195</v>
      </c>
      <c r="I17" s="208" t="s">
        <v>193</v>
      </c>
      <c r="J17" s="9">
        <f t="shared" ref="J17:J30" si="3">INDEX($C$48:$F$48,MATCH(E17,$C$43:$F$43,0))</f>
        <v>1.5</v>
      </c>
      <c r="K17" s="9">
        <f t="shared" ref="K17:K30" si="4">INDEX($C$46:$F$46,MATCH(F17,$C$43:$F$43,0))</f>
        <v>1</v>
      </c>
      <c r="L17" s="9">
        <f t="shared" ref="L17:L30" si="5">INDEX($C$47:$F$47,MATCH(G17,$C$43:$F$43,0))</f>
        <v>1</v>
      </c>
      <c r="M17" s="9">
        <f t="shared" ref="M17:M30" si="6">INDEX($C$44:$F$44,MATCH(H17,$C$43:$F$43,0))</f>
        <v>1.1000000000000001</v>
      </c>
      <c r="N17" s="10">
        <f>EXP(SQRT((LN(J17)^2)+(LN(K17)^2)+(LN(L17)^2)+(LN(M17)^2)))</f>
        <v>1.5166690070292277</v>
      </c>
      <c r="O17" s="11">
        <f>FirstOrderEffectsComponents!H8</f>
        <v>66.009999999999991</v>
      </c>
      <c r="P17" s="88">
        <f t="shared" ref="P17" si="7">(O17*N17)</f>
        <v>100.1153211539993</v>
      </c>
      <c r="Q17" s="88">
        <f t="shared" ref="Q17" si="8">(O17/N17)</f>
        <v>43.523009762886197</v>
      </c>
      <c r="R17" s="150"/>
    </row>
    <row r="18" spans="2:18">
      <c r="B18" s="234"/>
      <c r="C18" s="7" t="s">
        <v>192</v>
      </c>
      <c r="D18" s="8" t="s">
        <v>138</v>
      </c>
      <c r="E18" s="208" t="s">
        <v>193</v>
      </c>
      <c r="F18" s="209" t="s">
        <v>194</v>
      </c>
      <c r="G18" s="209" t="s">
        <v>194</v>
      </c>
      <c r="H18" s="210" t="s">
        <v>195</v>
      </c>
      <c r="I18" s="208" t="s">
        <v>193</v>
      </c>
      <c r="J18" s="9">
        <f t="shared" si="3"/>
        <v>1.5</v>
      </c>
      <c r="K18" s="9">
        <f t="shared" si="4"/>
        <v>1</v>
      </c>
      <c r="L18" s="9">
        <f t="shared" si="5"/>
        <v>1</v>
      </c>
      <c r="M18" s="9">
        <f t="shared" si="6"/>
        <v>1.1000000000000001</v>
      </c>
      <c r="N18" s="10">
        <f t="shared" ref="N18:N30" si="9">EXP(SQRT((LN(J18)^2)+(LN(K18)^2)+(LN(L18)^2)+(LN(M18)^2)))</f>
        <v>1.5166690070292277</v>
      </c>
      <c r="O18" s="11">
        <f>FirstOrderEffectsComponents!H9</f>
        <v>0.42434999999999995</v>
      </c>
      <c r="P18" s="88">
        <f t="shared" ref="P18:P30" si="10">(O18*N18)</f>
        <v>0.64359849313285267</v>
      </c>
      <c r="Q18" s="88">
        <f t="shared" ref="Q18:Q30" si="11">(O18/N18)</f>
        <v>0.27979077704712557</v>
      </c>
      <c r="R18" s="150"/>
    </row>
    <row r="19" spans="2:18">
      <c r="B19" s="234"/>
      <c r="C19" s="7" t="s">
        <v>192</v>
      </c>
      <c r="D19" s="8" t="s">
        <v>140</v>
      </c>
      <c r="E19" s="208" t="s">
        <v>193</v>
      </c>
      <c r="F19" s="209" t="s">
        <v>194</v>
      </c>
      <c r="G19" s="209" t="s">
        <v>194</v>
      </c>
      <c r="H19" s="210" t="s">
        <v>195</v>
      </c>
      <c r="I19" s="208" t="s">
        <v>193</v>
      </c>
      <c r="J19" s="9">
        <f t="shared" si="3"/>
        <v>1.5</v>
      </c>
      <c r="K19" s="9">
        <f t="shared" si="4"/>
        <v>1</v>
      </c>
      <c r="L19" s="9">
        <f t="shared" si="5"/>
        <v>1</v>
      </c>
      <c r="M19" s="9">
        <f t="shared" si="6"/>
        <v>1.1000000000000001</v>
      </c>
      <c r="N19" s="10">
        <f t="shared" si="9"/>
        <v>1.5166690070292277</v>
      </c>
      <c r="O19" s="11">
        <f>FirstOrderEffectsComponents!H10</f>
        <v>0.47149999999999997</v>
      </c>
      <c r="P19" s="88">
        <f t="shared" si="10"/>
        <v>0.71510943681428085</v>
      </c>
      <c r="Q19" s="88">
        <f t="shared" si="11"/>
        <v>0.31087864116347286</v>
      </c>
      <c r="R19" s="150"/>
    </row>
    <row r="20" spans="2:18">
      <c r="B20" s="234"/>
      <c r="C20" s="7" t="s">
        <v>192</v>
      </c>
      <c r="D20" s="8" t="s">
        <v>142</v>
      </c>
      <c r="E20" s="208" t="s">
        <v>193</v>
      </c>
      <c r="F20" s="209" t="s">
        <v>194</v>
      </c>
      <c r="G20" s="209" t="s">
        <v>194</v>
      </c>
      <c r="H20" s="210" t="s">
        <v>195</v>
      </c>
      <c r="I20" s="208" t="s">
        <v>193</v>
      </c>
      <c r="J20" s="9">
        <f t="shared" si="3"/>
        <v>1.5</v>
      </c>
      <c r="K20" s="9">
        <f t="shared" si="4"/>
        <v>1</v>
      </c>
      <c r="L20" s="9">
        <f t="shared" si="5"/>
        <v>1</v>
      </c>
      <c r="M20" s="9">
        <f t="shared" si="6"/>
        <v>1.1000000000000001</v>
      </c>
      <c r="N20" s="10">
        <f t="shared" si="9"/>
        <v>1.5166690070292277</v>
      </c>
      <c r="O20" s="11">
        <f>FirstOrderEffectsComponents!H11</f>
        <v>0.28290000000000004</v>
      </c>
      <c r="P20" s="88">
        <f t="shared" si="10"/>
        <v>0.42906566208856856</v>
      </c>
      <c r="Q20" s="88">
        <f t="shared" si="11"/>
        <v>0.18652718469808374</v>
      </c>
      <c r="R20" s="150"/>
    </row>
    <row r="21" spans="2:18">
      <c r="B21" s="234"/>
      <c r="C21" s="7" t="s">
        <v>192</v>
      </c>
      <c r="D21" s="8" t="s">
        <v>144</v>
      </c>
      <c r="E21" s="208" t="s">
        <v>193</v>
      </c>
      <c r="F21" s="209" t="s">
        <v>194</v>
      </c>
      <c r="G21" s="209" t="s">
        <v>194</v>
      </c>
      <c r="H21" s="210" t="s">
        <v>195</v>
      </c>
      <c r="I21" s="208" t="s">
        <v>193</v>
      </c>
      <c r="J21" s="9">
        <f t="shared" si="3"/>
        <v>1.5</v>
      </c>
      <c r="K21" s="9">
        <f t="shared" si="4"/>
        <v>1</v>
      </c>
      <c r="L21" s="9">
        <f t="shared" si="5"/>
        <v>1</v>
      </c>
      <c r="M21" s="9">
        <f t="shared" si="6"/>
        <v>1.1000000000000001</v>
      </c>
      <c r="N21" s="10">
        <f t="shared" si="9"/>
        <v>1.5166690070292277</v>
      </c>
      <c r="O21" s="11">
        <f>FirstOrderEffectsComponents!H12</f>
        <v>0.56579999999999997</v>
      </c>
      <c r="P21" s="88">
        <f t="shared" si="10"/>
        <v>0.858131324177137</v>
      </c>
      <c r="Q21" s="88">
        <f t="shared" si="11"/>
        <v>0.37305436939616743</v>
      </c>
      <c r="R21" s="150"/>
    </row>
    <row r="22" spans="2:18">
      <c r="B22" s="234"/>
      <c r="C22" s="7" t="s">
        <v>196</v>
      </c>
      <c r="D22" s="8" t="s">
        <v>557</v>
      </c>
      <c r="E22" s="209" t="s">
        <v>194</v>
      </c>
      <c r="F22" s="209" t="s">
        <v>194</v>
      </c>
      <c r="G22" s="209" t="s">
        <v>194</v>
      </c>
      <c r="H22" s="209" t="s">
        <v>194</v>
      </c>
      <c r="I22" s="209" t="s">
        <v>194</v>
      </c>
      <c r="J22" s="9">
        <f t="shared" si="3"/>
        <v>1</v>
      </c>
      <c r="K22" s="9">
        <f t="shared" si="4"/>
        <v>1</v>
      </c>
      <c r="L22" s="9">
        <f t="shared" si="5"/>
        <v>1</v>
      </c>
      <c r="M22" s="9">
        <f t="shared" si="6"/>
        <v>1</v>
      </c>
      <c r="N22" s="10">
        <f t="shared" si="9"/>
        <v>1</v>
      </c>
      <c r="O22" s="11">
        <f>Kg_product_soln</f>
        <v>3750</v>
      </c>
      <c r="P22" s="88">
        <f t="shared" si="10"/>
        <v>3750</v>
      </c>
      <c r="Q22" s="88">
        <f t="shared" si="11"/>
        <v>3750</v>
      </c>
      <c r="R22" s="150"/>
    </row>
    <row r="23" spans="2:18">
      <c r="B23" s="234"/>
      <c r="C23" s="7" t="s">
        <v>196</v>
      </c>
      <c r="D23" s="8" t="s">
        <v>556</v>
      </c>
      <c r="E23" s="209" t="s">
        <v>194</v>
      </c>
      <c r="F23" s="209" t="s">
        <v>194</v>
      </c>
      <c r="G23" s="209" t="s">
        <v>194</v>
      </c>
      <c r="H23" s="209" t="s">
        <v>194</v>
      </c>
      <c r="I23" s="209" t="s">
        <v>194</v>
      </c>
      <c r="J23" s="9">
        <f t="shared" si="3"/>
        <v>1</v>
      </c>
      <c r="K23" s="9">
        <f t="shared" si="4"/>
        <v>1</v>
      </c>
      <c r="L23" s="9">
        <f t="shared" si="5"/>
        <v>1</v>
      </c>
      <c r="M23" s="9">
        <f t="shared" si="6"/>
        <v>1</v>
      </c>
      <c r="N23" s="10">
        <f t="shared" si="9"/>
        <v>1</v>
      </c>
      <c r="O23" s="11">
        <f>Kg_product_soln</f>
        <v>3750</v>
      </c>
      <c r="P23" s="88">
        <f t="shared" si="10"/>
        <v>3750</v>
      </c>
      <c r="Q23" s="88">
        <f t="shared" si="11"/>
        <v>3750</v>
      </c>
      <c r="R23" s="150"/>
    </row>
    <row r="24" spans="2:18">
      <c r="B24" s="234" t="s">
        <v>198</v>
      </c>
      <c r="C24" s="7" t="s">
        <v>192</v>
      </c>
      <c r="D24" s="8" t="s">
        <v>617</v>
      </c>
      <c r="E24" s="208" t="s">
        <v>193</v>
      </c>
      <c r="F24" s="210" t="s">
        <v>195</v>
      </c>
      <c r="G24" s="208" t="s">
        <v>193</v>
      </c>
      <c r="H24" s="210" t="s">
        <v>195</v>
      </c>
      <c r="I24" s="210" t="s">
        <v>195</v>
      </c>
      <c r="J24" s="9">
        <f t="shared" si="3"/>
        <v>1.5</v>
      </c>
      <c r="K24" s="9">
        <f t="shared" si="4"/>
        <v>1.1000000000000001</v>
      </c>
      <c r="L24" s="9">
        <f t="shared" si="5"/>
        <v>1.05</v>
      </c>
      <c r="M24" s="9">
        <f t="shared" si="6"/>
        <v>1.1000000000000001</v>
      </c>
      <c r="N24" s="10">
        <f t="shared" si="9"/>
        <v>1.5373477798642379</v>
      </c>
      <c r="O24" s="33">
        <f>Backend!M57/FirstOrderEffectsComponents!H8</f>
        <v>1.3488038157942861</v>
      </c>
      <c r="P24" s="88">
        <f t="shared" si="10"/>
        <v>2.073580551683758</v>
      </c>
      <c r="Q24" s="88">
        <f t="shared" si="11"/>
        <v>0.87735763726370231</v>
      </c>
      <c r="R24" s="188"/>
    </row>
    <row r="25" spans="2:18">
      <c r="B25" s="234"/>
      <c r="C25" s="7" t="s">
        <v>192</v>
      </c>
      <c r="D25" s="8" t="s">
        <v>138</v>
      </c>
      <c r="E25" s="208" t="s">
        <v>193</v>
      </c>
      <c r="F25" s="210" t="s">
        <v>195</v>
      </c>
      <c r="G25" s="208" t="s">
        <v>193</v>
      </c>
      <c r="H25" s="210" t="s">
        <v>195</v>
      </c>
      <c r="I25" s="210" t="s">
        <v>195</v>
      </c>
      <c r="J25" s="9">
        <f t="shared" si="3"/>
        <v>1.5</v>
      </c>
      <c r="K25" s="9">
        <f t="shared" si="4"/>
        <v>1.1000000000000001</v>
      </c>
      <c r="L25" s="9">
        <f t="shared" si="5"/>
        <v>1.05</v>
      </c>
      <c r="M25" s="9">
        <f t="shared" si="6"/>
        <v>1.1000000000000001</v>
      </c>
      <c r="N25" s="10">
        <f t="shared" si="9"/>
        <v>1.5373477798642379</v>
      </c>
      <c r="O25" s="33">
        <f>Backend!M58/FirstOrderEffectsComponents!H9</f>
        <v>1.1311185730000002</v>
      </c>
      <c r="P25" s="88">
        <f t="shared" si="10"/>
        <v>1.7389226269647551</v>
      </c>
      <c r="Q25" s="88">
        <f t="shared" si="11"/>
        <v>0.73575972061434824</v>
      </c>
      <c r="R25" s="188"/>
    </row>
    <row r="26" spans="2:18">
      <c r="B26" s="234"/>
      <c r="C26" s="7" t="s">
        <v>192</v>
      </c>
      <c r="D26" s="8" t="s">
        <v>140</v>
      </c>
      <c r="E26" s="208" t="s">
        <v>193</v>
      </c>
      <c r="F26" s="210" t="s">
        <v>195</v>
      </c>
      <c r="G26" s="208" t="s">
        <v>193</v>
      </c>
      <c r="H26" s="210" t="s">
        <v>195</v>
      </c>
      <c r="I26" s="210" t="s">
        <v>195</v>
      </c>
      <c r="J26" s="9">
        <f t="shared" si="3"/>
        <v>1.5</v>
      </c>
      <c r="K26" s="9">
        <f t="shared" si="4"/>
        <v>1.1000000000000001</v>
      </c>
      <c r="L26" s="9">
        <f t="shared" si="5"/>
        <v>1.05</v>
      </c>
      <c r="M26" s="9">
        <f t="shared" si="6"/>
        <v>1.1000000000000001</v>
      </c>
      <c r="N26" s="10">
        <f t="shared" si="9"/>
        <v>1.5373477798642379</v>
      </c>
      <c r="O26" s="33">
        <f>Backend!M59/FirstOrderEffectsComponents!H10</f>
        <v>1.1357069140000002</v>
      </c>
      <c r="P26" s="88">
        <f t="shared" si="10"/>
        <v>1.7459765028143652</v>
      </c>
      <c r="Q26" s="88">
        <f t="shared" si="11"/>
        <v>0.73874430293208848</v>
      </c>
      <c r="R26" s="188"/>
    </row>
    <row r="27" spans="2:18">
      <c r="B27" s="234"/>
      <c r="C27" s="7" t="s">
        <v>192</v>
      </c>
      <c r="D27" s="8" t="s">
        <v>142</v>
      </c>
      <c r="E27" s="208" t="s">
        <v>193</v>
      </c>
      <c r="F27" s="210" t="s">
        <v>195</v>
      </c>
      <c r="G27" s="208" t="s">
        <v>193</v>
      </c>
      <c r="H27" s="210" t="s">
        <v>195</v>
      </c>
      <c r="I27" s="210" t="s">
        <v>195</v>
      </c>
      <c r="J27" s="9">
        <f t="shared" si="3"/>
        <v>1.5</v>
      </c>
      <c r="K27" s="9">
        <f t="shared" si="4"/>
        <v>1.1000000000000001</v>
      </c>
      <c r="L27" s="9">
        <f t="shared" si="5"/>
        <v>1.05</v>
      </c>
      <c r="M27" s="9">
        <f t="shared" si="6"/>
        <v>1.1000000000000001</v>
      </c>
      <c r="N27" s="10">
        <f t="shared" si="9"/>
        <v>1.5373477798642379</v>
      </c>
      <c r="O27" s="33">
        <f>Backend!M60/FirstOrderEffectsComponents!H11</f>
        <v>2.2622371460000004</v>
      </c>
      <c r="P27" s="88">
        <f t="shared" si="10"/>
        <v>3.4778452539295102</v>
      </c>
      <c r="Q27" s="88">
        <f t="shared" si="11"/>
        <v>1.4715194412286965</v>
      </c>
      <c r="R27" s="188"/>
    </row>
    <row r="28" spans="2:18">
      <c r="B28" s="234"/>
      <c r="C28" s="7" t="s">
        <v>192</v>
      </c>
      <c r="D28" s="8" t="s">
        <v>144</v>
      </c>
      <c r="E28" s="208" t="s">
        <v>193</v>
      </c>
      <c r="F28" s="210" t="s">
        <v>195</v>
      </c>
      <c r="G28" s="208" t="s">
        <v>193</v>
      </c>
      <c r="H28" s="210" t="s">
        <v>195</v>
      </c>
      <c r="I28" s="210" t="s">
        <v>195</v>
      </c>
      <c r="J28" s="9">
        <f t="shared" si="3"/>
        <v>1.5</v>
      </c>
      <c r="K28" s="9">
        <f t="shared" si="4"/>
        <v>1.1000000000000001</v>
      </c>
      <c r="L28" s="9">
        <f t="shared" si="5"/>
        <v>1.05</v>
      </c>
      <c r="M28" s="9">
        <f t="shared" si="6"/>
        <v>1.1000000000000001</v>
      </c>
      <c r="N28" s="10">
        <f t="shared" si="9"/>
        <v>1.5373477798642379</v>
      </c>
      <c r="O28" s="33">
        <f>Backend!M61/FirstOrderEffectsComponents!H12</f>
        <v>1.1311185730000002</v>
      </c>
      <c r="P28" s="88">
        <f t="shared" si="10"/>
        <v>1.7389226269647551</v>
      </c>
      <c r="Q28" s="88">
        <f t="shared" si="11"/>
        <v>0.73575972061434824</v>
      </c>
      <c r="R28" s="188"/>
    </row>
    <row r="29" spans="2:18">
      <c r="B29" s="234"/>
      <c r="C29" s="7" t="s">
        <v>196</v>
      </c>
      <c r="D29" s="8" t="s">
        <v>557</v>
      </c>
      <c r="E29" s="210" t="s">
        <v>195</v>
      </c>
      <c r="F29" s="210" t="s">
        <v>195</v>
      </c>
      <c r="G29" s="210" t="s">
        <v>195</v>
      </c>
      <c r="H29" s="210" t="s">
        <v>195</v>
      </c>
      <c r="I29" s="210" t="s">
        <v>195</v>
      </c>
      <c r="J29" s="9">
        <f t="shared" si="3"/>
        <v>1.2</v>
      </c>
      <c r="K29" s="9">
        <f t="shared" si="4"/>
        <v>1.1000000000000001</v>
      </c>
      <c r="L29" s="9">
        <f t="shared" si="5"/>
        <v>1.02</v>
      </c>
      <c r="M29" s="9">
        <f t="shared" si="6"/>
        <v>1.1000000000000001</v>
      </c>
      <c r="N29" s="10">
        <f t="shared" si="9"/>
        <v>1.2555818742947564</v>
      </c>
      <c r="O29" s="11">
        <f>(SUM(Backend!$M$32:$M$45)/Kg_product_soln)-(SUM(Backend!$M$6:$M$20)/Kg_product_ref)</f>
        <v>-0.58217954416245932</v>
      </c>
      <c r="P29" s="88">
        <f t="shared" si="10"/>
        <v>-0.73097408323556756</v>
      </c>
      <c r="Q29" s="88">
        <f t="shared" si="11"/>
        <v>-0.46367310334856643</v>
      </c>
      <c r="R29" s="188"/>
    </row>
    <row r="30" spans="2:18">
      <c r="B30" s="234"/>
      <c r="C30" s="7" t="s">
        <v>196</v>
      </c>
      <c r="D30" s="8" t="s">
        <v>556</v>
      </c>
      <c r="E30" s="208" t="s">
        <v>193</v>
      </c>
      <c r="F30" s="210" t="s">
        <v>195</v>
      </c>
      <c r="G30" s="210" t="s">
        <v>195</v>
      </c>
      <c r="H30" s="210" t="s">
        <v>195</v>
      </c>
      <c r="I30" s="210" t="s">
        <v>195</v>
      </c>
      <c r="J30" s="9">
        <f t="shared" si="3"/>
        <v>1.5</v>
      </c>
      <c r="K30" s="9">
        <f t="shared" si="4"/>
        <v>1.1000000000000001</v>
      </c>
      <c r="L30" s="9">
        <f t="shared" si="5"/>
        <v>1.02</v>
      </c>
      <c r="M30" s="9">
        <f t="shared" si="6"/>
        <v>1.1000000000000001</v>
      </c>
      <c r="N30" s="10">
        <f t="shared" si="9"/>
        <v>1.533788411773418</v>
      </c>
      <c r="O30" s="11">
        <f>(SUM(Backend!$M$46:$M$49)/Kg_product_soln)-(SUM(Backend!$M$21:$M$24)/Kg_product_ref)</f>
        <v>-2.9014766239671141E-3</v>
      </c>
      <c r="P30" s="88">
        <f t="shared" si="10"/>
        <v>-4.4502512228722186E-3</v>
      </c>
      <c r="Q30" s="88">
        <f t="shared" si="11"/>
        <v>-1.8917059235128324E-3</v>
      </c>
      <c r="R30" s="188"/>
    </row>
    <row r="31" spans="2:18">
      <c r="B31" s="103"/>
      <c r="E31" s="103"/>
      <c r="F31" s="103"/>
      <c r="G31" s="103"/>
      <c r="H31" s="103"/>
      <c r="I31" s="103"/>
      <c r="J31" s="103"/>
      <c r="K31" s="103"/>
      <c r="L31" s="103"/>
      <c r="M31" s="103"/>
      <c r="N31" s="104"/>
      <c r="O31" s="104"/>
      <c r="P31" s="105"/>
      <c r="Q31" s="105"/>
    </row>
    <row r="33" spans="2:17">
      <c r="B33" s="2" t="s">
        <v>199</v>
      </c>
      <c r="L33"/>
      <c r="M33"/>
      <c r="N33"/>
      <c r="O33"/>
      <c r="P33"/>
      <c r="Q33"/>
    </row>
    <row r="34" spans="2:17">
      <c r="L34"/>
      <c r="M34"/>
      <c r="N34"/>
      <c r="O34"/>
      <c r="P34"/>
      <c r="Q34"/>
    </row>
    <row r="35" spans="2:17">
      <c r="B35" s="12" t="s">
        <v>201</v>
      </c>
      <c r="C35" s="13" t="s">
        <v>202</v>
      </c>
      <c r="D35" s="13" t="s">
        <v>203</v>
      </c>
      <c r="E35" s="13" t="s">
        <v>193</v>
      </c>
      <c r="F35" s="13" t="s">
        <v>204</v>
      </c>
      <c r="L35"/>
      <c r="M35"/>
      <c r="N35"/>
      <c r="O35"/>
      <c r="P35"/>
      <c r="Q35"/>
    </row>
    <row r="36" spans="2:17" ht="39">
      <c r="B36" s="14" t="s">
        <v>205</v>
      </c>
      <c r="C36" s="15" t="s">
        <v>206</v>
      </c>
      <c r="D36" s="15" t="s">
        <v>207</v>
      </c>
      <c r="E36" s="15" t="s">
        <v>208</v>
      </c>
      <c r="F36" s="15" t="s">
        <v>209</v>
      </c>
      <c r="L36"/>
      <c r="M36"/>
      <c r="N36"/>
      <c r="O36"/>
      <c r="P36"/>
      <c r="Q36"/>
    </row>
    <row r="37" spans="2:17" ht="55.15" customHeight="1">
      <c r="B37" s="14" t="s">
        <v>210</v>
      </c>
      <c r="C37" s="15" t="s">
        <v>211</v>
      </c>
      <c r="D37" s="15" t="s">
        <v>212</v>
      </c>
      <c r="E37" s="15" t="s">
        <v>213</v>
      </c>
      <c r="F37" s="15" t="s">
        <v>214</v>
      </c>
      <c r="L37"/>
      <c r="M37"/>
      <c r="N37"/>
      <c r="O37"/>
      <c r="P37"/>
      <c r="Q37"/>
    </row>
    <row r="38" spans="2:17" ht="58.5">
      <c r="B38" s="14" t="s">
        <v>215</v>
      </c>
      <c r="C38" s="15" t="s">
        <v>216</v>
      </c>
      <c r="D38" s="15" t="s">
        <v>217</v>
      </c>
      <c r="E38" s="15" t="s">
        <v>218</v>
      </c>
      <c r="F38" s="15" t="s">
        <v>219</v>
      </c>
      <c r="L38"/>
      <c r="M38"/>
      <c r="N38"/>
      <c r="O38"/>
      <c r="P38"/>
      <c r="Q38"/>
    </row>
    <row r="39" spans="2:17" ht="97.5">
      <c r="B39" s="14" t="s">
        <v>186</v>
      </c>
      <c r="C39" s="15" t="s">
        <v>220</v>
      </c>
      <c r="D39" s="15" t="s">
        <v>221</v>
      </c>
      <c r="E39" s="16" t="s">
        <v>222</v>
      </c>
      <c r="F39" s="15" t="s">
        <v>223</v>
      </c>
      <c r="L39"/>
      <c r="M39"/>
      <c r="N39"/>
      <c r="O39"/>
      <c r="P39"/>
      <c r="Q39"/>
    </row>
    <row r="40" spans="2:17" ht="97.5">
      <c r="B40" s="14" t="s">
        <v>224</v>
      </c>
      <c r="C40" s="15" t="s">
        <v>225</v>
      </c>
      <c r="D40" s="15" t="s">
        <v>226</v>
      </c>
      <c r="E40" s="15" t="s">
        <v>227</v>
      </c>
      <c r="F40" s="15" t="s">
        <v>228</v>
      </c>
      <c r="L40"/>
      <c r="M40"/>
      <c r="N40"/>
      <c r="O40"/>
      <c r="P40"/>
      <c r="Q40"/>
    </row>
    <row r="41" spans="2:17">
      <c r="B41" s="30" t="s">
        <v>229</v>
      </c>
      <c r="C41" s="4"/>
      <c r="D41" s="4"/>
      <c r="E41" s="4"/>
      <c r="F41" s="4"/>
      <c r="L41"/>
      <c r="M41"/>
      <c r="N41"/>
      <c r="O41"/>
      <c r="P41"/>
      <c r="Q41"/>
    </row>
    <row r="42" spans="2:17">
      <c r="C42" s="4"/>
      <c r="D42" s="4"/>
      <c r="E42" s="4"/>
      <c r="F42" s="4"/>
      <c r="L42"/>
      <c r="M42"/>
      <c r="N42"/>
      <c r="O42"/>
      <c r="P42"/>
      <c r="Q42"/>
    </row>
    <row r="43" spans="2:17">
      <c r="B43" s="12" t="s">
        <v>201</v>
      </c>
      <c r="C43" s="17" t="s">
        <v>194</v>
      </c>
      <c r="D43" s="13" t="s">
        <v>195</v>
      </c>
      <c r="E43" s="17" t="s">
        <v>193</v>
      </c>
      <c r="F43" s="13" t="s">
        <v>204</v>
      </c>
      <c r="L43"/>
      <c r="M43"/>
      <c r="N43"/>
      <c r="O43"/>
      <c r="P43"/>
      <c r="Q43"/>
    </row>
    <row r="44" spans="2:17">
      <c r="B44" s="18" t="s">
        <v>224</v>
      </c>
      <c r="C44" s="19">
        <v>1</v>
      </c>
      <c r="D44" s="19">
        <v>1.1000000000000001</v>
      </c>
      <c r="E44" s="19">
        <v>1.2</v>
      </c>
      <c r="F44" s="19">
        <v>1.5</v>
      </c>
      <c r="L44"/>
      <c r="M44"/>
      <c r="N44"/>
      <c r="O44"/>
      <c r="P44"/>
      <c r="Q44"/>
    </row>
    <row r="45" spans="2:17">
      <c r="B45" s="18" t="s">
        <v>186</v>
      </c>
      <c r="C45" s="19">
        <v>1</v>
      </c>
      <c r="D45" s="19">
        <v>1.05</v>
      </c>
      <c r="E45" s="19">
        <v>1.1000000000000001</v>
      </c>
      <c r="F45" s="19">
        <v>1.2</v>
      </c>
      <c r="L45"/>
      <c r="M45"/>
      <c r="N45"/>
      <c r="O45"/>
      <c r="P45"/>
      <c r="Q45"/>
    </row>
    <row r="46" spans="2:17">
      <c r="B46" s="18" t="s">
        <v>210</v>
      </c>
      <c r="C46" s="19">
        <v>1</v>
      </c>
      <c r="D46" s="19">
        <v>1.1000000000000001</v>
      </c>
      <c r="E46" s="19">
        <v>1.2</v>
      </c>
      <c r="F46" s="19">
        <v>1.5</v>
      </c>
      <c r="L46"/>
      <c r="M46"/>
      <c r="N46"/>
      <c r="O46"/>
      <c r="P46"/>
      <c r="Q46"/>
    </row>
    <row r="47" spans="2:17">
      <c r="B47" s="18" t="s">
        <v>215</v>
      </c>
      <c r="C47" s="19">
        <v>1</v>
      </c>
      <c r="D47" s="19">
        <v>1.02</v>
      </c>
      <c r="E47" s="19">
        <v>1.05</v>
      </c>
      <c r="F47" s="19">
        <v>1.1000000000000001</v>
      </c>
      <c r="L47"/>
      <c r="M47"/>
      <c r="N47"/>
      <c r="O47"/>
      <c r="P47"/>
      <c r="Q47"/>
    </row>
    <row r="48" spans="2:17">
      <c r="B48" s="18" t="s">
        <v>205</v>
      </c>
      <c r="C48" s="19">
        <v>1</v>
      </c>
      <c r="D48" s="19">
        <v>1.2</v>
      </c>
      <c r="E48" s="19">
        <v>1.5</v>
      </c>
      <c r="F48" s="19">
        <v>2</v>
      </c>
      <c r="L48"/>
      <c r="M48"/>
      <c r="N48"/>
      <c r="O48"/>
      <c r="P48"/>
      <c r="Q48"/>
    </row>
    <row r="49" spans="2:17">
      <c r="B49" s="3" t="s">
        <v>232</v>
      </c>
      <c r="L49"/>
      <c r="M49"/>
      <c r="N49"/>
      <c r="O49"/>
      <c r="P49"/>
      <c r="Q49"/>
    </row>
    <row r="50" spans="2:17">
      <c r="L50"/>
      <c r="M50"/>
      <c r="N50"/>
      <c r="O50"/>
      <c r="P50"/>
      <c r="Q50"/>
    </row>
  </sheetData>
  <mergeCells count="5">
    <mergeCell ref="E15:I15"/>
    <mergeCell ref="J15:N15"/>
    <mergeCell ref="O15:Q15"/>
    <mergeCell ref="B17:B23"/>
    <mergeCell ref="B24:B30"/>
  </mergeCells>
  <conditionalFormatting sqref="B44:B48">
    <cfRule type="containsText" dxfId="12" priority="5" operator="containsText" text="Poor">
      <formula>NOT(ISERROR(SEARCH("Poor",B44)))</formula>
    </cfRule>
    <cfRule type="containsText" dxfId="11" priority="6" operator="containsText" text="Fair">
      <formula>NOT(ISERROR(SEARCH("Fair",B44)))</formula>
    </cfRule>
    <cfRule type="containsText" dxfId="10" priority="7" operator="containsText" text="Good ">
      <formula>NOT(ISERROR(SEARCH("Good ",B44)))</formula>
    </cfRule>
    <cfRule type="containsText" dxfId="9" priority="8" operator="containsText" text="Very Good">
      <formula>NOT(ISERROR(SEARCH("Very Good",B44)))</formula>
    </cfRule>
  </conditionalFormatting>
  <conditionalFormatting sqref="E31:I31 B36:B41">
    <cfRule type="containsText" dxfId="8" priority="9" operator="containsText" text="Poor">
      <formula>NOT(ISERROR(SEARCH("Poor",B31)))</formula>
    </cfRule>
    <cfRule type="containsText" dxfId="7" priority="10" operator="containsText" text="Fair">
      <formula>NOT(ISERROR(SEARCH("Fair",B31)))</formula>
    </cfRule>
    <cfRule type="containsText" dxfId="6" priority="11" operator="containsText" text="Good ">
      <formula>NOT(ISERROR(SEARCH("Good ",B31)))</formula>
    </cfRule>
    <cfRule type="containsText" dxfId="5" priority="12" operator="containsText" text="Very Good">
      <formula>NOT(ISERROR(SEARCH("Very Good",B31)))</formula>
    </cfRule>
  </conditionalFormatting>
  <conditionalFormatting sqref="H18:H21">
    <cfRule type="containsText" dxfId="4" priority="1" operator="containsText" text="Poor">
      <formula>NOT(ISERROR(SEARCH("Poor",H18)))</formula>
    </cfRule>
    <cfRule type="containsText" dxfId="3" priority="2" operator="containsText" text="Fair">
      <formula>NOT(ISERROR(SEARCH("Fair",H18)))</formula>
    </cfRule>
    <cfRule type="containsText" dxfId="2" priority="3" operator="containsText" text="Good ">
      <formula>NOT(ISERROR(SEARCH("Good ",H18)))</formula>
    </cfRule>
    <cfRule type="containsText" dxfId="1" priority="4" operator="containsText" text="Very Good">
      <formula>NOT(ISERROR(SEARCH("Very Good",H18)))</formula>
    </cfRule>
  </conditionalFormatting>
  <dataValidations count="1">
    <dataValidation type="list" allowBlank="1" showInputMessage="1" showErrorMessage="1" sqref="E17:I31" xr:uid="{10EB2196-A7E9-4521-A5B1-3E78B1032AF3}">
      <formula1>#REF!</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BCD9-403F-4B7F-A72F-4CF3D12C5F6A}">
  <sheetPr>
    <tabColor rgb="FFA6D9F7"/>
  </sheetPr>
  <dimension ref="B2:O19"/>
  <sheetViews>
    <sheetView showGridLines="0" zoomScaleNormal="100" workbookViewId="0"/>
  </sheetViews>
  <sheetFormatPr defaultColWidth="8.75" defaultRowHeight="19.5"/>
  <cols>
    <col min="1" max="1" width="16.25" style="3" customWidth="1"/>
    <col min="2" max="2" width="19.75" style="3" customWidth="1"/>
    <col min="3" max="3" width="28.375" style="3" customWidth="1"/>
    <col min="4" max="4" width="31.75" style="3" customWidth="1"/>
    <col min="5" max="5" width="14.375" style="3" customWidth="1"/>
    <col min="6" max="6" width="15.875" style="3" customWidth="1"/>
    <col min="7" max="7" width="19.25" style="3" customWidth="1"/>
    <col min="8" max="9" width="14.625" style="3" customWidth="1"/>
    <col min="10" max="10" width="22.5" style="3" customWidth="1"/>
    <col min="11" max="11" width="17.125" style="3" customWidth="1"/>
    <col min="12" max="12" width="24.625" style="3" customWidth="1"/>
    <col min="13" max="13" width="24.875" style="3" customWidth="1"/>
    <col min="14" max="14" width="57" style="3" customWidth="1"/>
    <col min="15" max="16384" width="8.75" style="3"/>
  </cols>
  <sheetData>
    <row r="2" spans="2:15">
      <c r="B2" s="2" t="s">
        <v>233</v>
      </c>
    </row>
    <row r="3" spans="2:15">
      <c r="B3" s="3" t="s">
        <v>234</v>
      </c>
    </row>
    <row r="4" spans="2:15">
      <c r="J4" s="189"/>
    </row>
    <row r="5" spans="2:15" ht="58.5">
      <c r="B5" s="31" t="s">
        <v>180</v>
      </c>
      <c r="C5" s="31" t="str">
        <f>'Uncertainty Analysis'!C$16</f>
        <v>Impact effect</v>
      </c>
      <c r="D5" s="31" t="str">
        <f>'Uncertainty Analysis'!D$16</f>
        <v>Description of effect</v>
      </c>
      <c r="E5" s="31" t="str">
        <f>'Uncertainty Analysis'!$O16</f>
        <v>Input data</v>
      </c>
      <c r="F5" s="31" t="s">
        <v>235</v>
      </c>
      <c r="G5" s="31" t="s">
        <v>236</v>
      </c>
      <c r="H5" s="32" t="str">
        <f>'Uncertainty Analysis'!$P$16</f>
        <v>Input data with SD (higher range)</v>
      </c>
      <c r="I5" s="32" t="str">
        <f>'Uncertainty Analysis'!$P$16</f>
        <v>Input data with SD (higher range)</v>
      </c>
      <c r="J5" s="31" t="s">
        <v>237</v>
      </c>
      <c r="K5" s="31" t="s">
        <v>238</v>
      </c>
      <c r="L5" s="31" t="s">
        <v>239</v>
      </c>
      <c r="M5" s="31" t="s">
        <v>240</v>
      </c>
      <c r="N5" s="31" t="s">
        <v>241</v>
      </c>
    </row>
    <row r="6" spans="2:15">
      <c r="B6" s="23" t="s">
        <v>242</v>
      </c>
      <c r="C6" s="23" t="str">
        <f>'Uncertainty Analysis'!C17</f>
        <v xml:space="preserve">1st order </v>
      </c>
      <c r="D6" s="23" t="str">
        <f>'Uncertainty Analysis'!D17</f>
        <v>gaiaTron Station (v3.1, incl. mast)</v>
      </c>
      <c r="E6" s="33">
        <f>'Uncertainty Analysis'!$O17</f>
        <v>66.009999999999991</v>
      </c>
      <c r="F6" s="214">
        <v>-0.05</v>
      </c>
      <c r="G6" s="214">
        <v>0.05</v>
      </c>
      <c r="H6" s="48">
        <f>E6+(F6*E6)</f>
        <v>62.709499999999991</v>
      </c>
      <c r="I6" s="34">
        <f>E6+(G6*E6)</f>
        <v>69.31049999999999</v>
      </c>
      <c r="J6" s="34">
        <f>('Uncertainty Analysis'!$E$12*1000)-($E6*$E13)+(H6*$E13)</f>
        <v>-2107.1755653089372</v>
      </c>
      <c r="K6" s="34">
        <f>('Uncertainty Analysis'!$E$12*1000)-($E6*$E13)+(I6*$E13)</f>
        <v>-2098.272111320879</v>
      </c>
      <c r="L6" s="35">
        <f>J6/(Calculator!$C$42*1000)-1</f>
        <v>2.1171239479531589E-3</v>
      </c>
      <c r="M6" s="35">
        <f>K6/(Calculator!$C$42*1000)-1</f>
        <v>-2.1171239479537141E-3</v>
      </c>
      <c r="N6" s="36" t="str">
        <f>D6&amp;" "&amp;B6&amp;" +"&amp;TEXT(G6,"0%")&amp;"/"&amp;TEXT(F6,"0%")</f>
        <v>gaiaTron Station (v3.1, incl. mast) activity data +5%/-5%</v>
      </c>
      <c r="O6" s="37"/>
    </row>
    <row r="7" spans="2:15">
      <c r="B7" s="23" t="s">
        <v>242</v>
      </c>
      <c r="C7" s="23" t="str">
        <f>'Uncertainty Analysis'!C18</f>
        <v xml:space="preserve">1st order </v>
      </c>
      <c r="D7" s="23" t="str">
        <f>'Uncertainty Analysis'!D18</f>
        <v>Solar Radiation Sensor</v>
      </c>
      <c r="E7" s="33">
        <f>'Uncertainty Analysis'!$O18</f>
        <v>0.42434999999999995</v>
      </c>
      <c r="F7" s="214">
        <v>-0.05</v>
      </c>
      <c r="G7" s="214">
        <v>0.05</v>
      </c>
      <c r="H7" s="48">
        <f t="shared" ref="H7:H14" si="0">E7+(F7*E7)</f>
        <v>0.40313249999999995</v>
      </c>
      <c r="I7" s="34">
        <f t="shared" ref="I7:I14" si="1">E7+(G7*E7)</f>
        <v>0.44556749999999995</v>
      </c>
      <c r="J7" s="34">
        <f>('Uncertainty Analysis'!$E$12*1000)-($E7*$E14)+(H7*$E14)</f>
        <v>-2102.7478378232308</v>
      </c>
      <c r="K7" s="34">
        <f>('Uncertainty Analysis'!$E$12*1000)-($E7*$E14)+(I7*$E14)</f>
        <v>-2102.6998388065854</v>
      </c>
      <c r="L7" s="35">
        <f>J7/(Calculator!$C$42*1000)-1</f>
        <v>1.1413533191895198E-5</v>
      </c>
      <c r="M7" s="35">
        <f>K7/(Calculator!$C$42*1000)-1</f>
        <v>-1.1413533192561331E-5</v>
      </c>
      <c r="N7" s="36" t="str">
        <f t="shared" ref="N7:N14" si="2">D7&amp;" "&amp;B7&amp;" +"&amp;TEXT(G7,"0%")&amp;"/"&amp;TEXT(F7,"0%")</f>
        <v>Solar Radiation Sensor activity data +5%/-5%</v>
      </c>
    </row>
    <row r="8" spans="2:15">
      <c r="B8" s="23" t="s">
        <v>242</v>
      </c>
      <c r="C8" s="23" t="str">
        <f>'Uncertainty Analysis'!C19</f>
        <v xml:space="preserve">1st order </v>
      </c>
      <c r="D8" s="23" t="str">
        <f>'Uncertainty Analysis'!D19</f>
        <v>Air Temperature &amp; Humidity Sensor</v>
      </c>
      <c r="E8" s="33">
        <f>'Uncertainty Analysis'!$O19</f>
        <v>0.47149999999999997</v>
      </c>
      <c r="F8" s="214">
        <v>-0.05</v>
      </c>
      <c r="G8" s="214">
        <v>0.05</v>
      </c>
      <c r="H8" s="48">
        <f t="shared" si="0"/>
        <v>0.44792499999999996</v>
      </c>
      <c r="I8" s="34">
        <f t="shared" si="1"/>
        <v>0.49507499999999999</v>
      </c>
      <c r="J8" s="34">
        <f>('Uncertainty Analysis'!$E$12*1000)-($E8*$E15)+(H8*$E15)</f>
        <v>-2102.7506126054059</v>
      </c>
      <c r="K8" s="34">
        <f>('Uncertainty Analysis'!$E$12*1000)-($E8*$E15)+(I8*$E15)</f>
        <v>-2102.6970640244108</v>
      </c>
      <c r="L8" s="35">
        <f>J8/(Calculator!$C$42*1000)-1</f>
        <v>1.2733146411925134E-5</v>
      </c>
      <c r="M8" s="35">
        <f>K8/(Calculator!$C$42*1000)-1</f>
        <v>-1.2733146412369223E-5</v>
      </c>
      <c r="N8" s="36" t="str">
        <f t="shared" si="2"/>
        <v>Air Temperature &amp; Humidity Sensor activity data +5%/-5%</v>
      </c>
    </row>
    <row r="9" spans="2:15">
      <c r="B9" s="23" t="s">
        <v>242</v>
      </c>
      <c r="C9" s="23" t="str">
        <f>'Uncertainty Analysis'!C20</f>
        <v xml:space="preserve">1st order </v>
      </c>
      <c r="D9" s="23" t="str">
        <f>'Uncertainty Analysis'!D20</f>
        <v>Leaf Wetness Sensor</v>
      </c>
      <c r="E9" s="33">
        <f>'Uncertainty Analysis'!$O20</f>
        <v>0.28290000000000004</v>
      </c>
      <c r="F9" s="214">
        <v>-0.05</v>
      </c>
      <c r="G9" s="214">
        <v>0.05</v>
      </c>
      <c r="H9" s="48">
        <f t="shared" si="0"/>
        <v>0.26875500000000002</v>
      </c>
      <c r="I9" s="34">
        <f t="shared" si="1"/>
        <v>0.29704500000000006</v>
      </c>
      <c r="J9" s="34">
        <f>('Uncertainty Analysis'!$E$12*1000)-($E9*$E16)+(H9*$E16)</f>
        <v>-2102.7558376593383</v>
      </c>
      <c r="K9" s="34">
        <f>('Uncertainty Analysis'!$E$12*1000)-($E9*$E16)+(I9*$E16)</f>
        <v>-2102.6918389704779</v>
      </c>
      <c r="L9" s="35">
        <f>J9/(Calculator!$C$42*1000)-1</f>
        <v>1.5218044255860264E-5</v>
      </c>
      <c r="M9" s="35">
        <f>K9/(Calculator!$C$42*1000)-1</f>
        <v>-1.521804425663742E-5</v>
      </c>
      <c r="N9" s="36" t="str">
        <f t="shared" si="2"/>
        <v>Leaf Wetness Sensor activity data +5%/-5%</v>
      </c>
    </row>
    <row r="10" spans="2:15">
      <c r="B10" s="23" t="s">
        <v>242</v>
      </c>
      <c r="C10" s="23" t="str">
        <f>'Uncertainty Analysis'!C21</f>
        <v xml:space="preserve">1st order </v>
      </c>
      <c r="D10" s="23" t="str">
        <f>'Uncertainty Analysis'!D21</f>
        <v>Soil Multi-sensor</v>
      </c>
      <c r="E10" s="33">
        <f>'Uncertainty Analysis'!$O21</f>
        <v>0.56579999999999997</v>
      </c>
      <c r="F10" s="214">
        <v>-0.05</v>
      </c>
      <c r="G10" s="214">
        <v>0.05</v>
      </c>
      <c r="H10" s="48">
        <f t="shared" si="0"/>
        <v>0.53750999999999993</v>
      </c>
      <c r="I10" s="34">
        <f t="shared" si="1"/>
        <v>0.59409000000000001</v>
      </c>
      <c r="J10" s="34">
        <f>('Uncertainty Analysis'!$E$12*1000)-($E10*$E17)+(H10*$E17)</f>
        <v>-2102.7558376593383</v>
      </c>
      <c r="K10" s="34">
        <f>('Uncertainty Analysis'!$E$12*1000)-($E10*$E17)+(I10*$E17)</f>
        <v>-2102.6918389704779</v>
      </c>
      <c r="L10" s="35">
        <f>J10/(Calculator!$C$42*1000)-1</f>
        <v>1.5218044255860264E-5</v>
      </c>
      <c r="M10" s="35">
        <f>K10/(Calculator!$C$42*1000)-1</f>
        <v>-1.521804425663742E-5</v>
      </c>
      <c r="N10" s="36" t="str">
        <f t="shared" si="2"/>
        <v>Soil Multi-sensor activity data +5%/-5%</v>
      </c>
    </row>
    <row r="11" spans="2:15">
      <c r="B11" s="23" t="s">
        <v>242</v>
      </c>
      <c r="C11" s="23" t="str">
        <f>'Uncertainty Analysis'!C22</f>
        <v xml:space="preserve">2nd order </v>
      </c>
      <c r="D11" s="23" t="str">
        <f>'Uncertainty Analysis'!D22</f>
        <v>Fertiliser, Insecticide, Fungicide emissions</v>
      </c>
      <c r="E11" s="33">
        <f>'Uncertainty Analysis'!$O22</f>
        <v>3750</v>
      </c>
      <c r="F11" s="214">
        <v>-0.05</v>
      </c>
      <c r="G11" s="214">
        <v>0.05</v>
      </c>
      <c r="H11" s="48">
        <f t="shared" si="0"/>
        <v>3562.5</v>
      </c>
      <c r="I11" s="34">
        <f t="shared" si="1"/>
        <v>3937.5</v>
      </c>
      <c r="J11" s="34">
        <f>('Uncertainty Analysis'!$E$12*1000)-($E11*$E18)+(H11*$E18)</f>
        <v>-1993.5651737844473</v>
      </c>
      <c r="K11" s="34">
        <f>('Uncertainty Analysis'!$E$12*1000)-($E11*$E18)+(I11*$E18)</f>
        <v>-2211.8825028453693</v>
      </c>
      <c r="L11" s="35">
        <f>J11/(Calculator!$C$42*1000)-1</f>
        <v>-5.1912981886361065E-2</v>
      </c>
      <c r="M11" s="35">
        <f>K11/(Calculator!$C$42*1000)-1</f>
        <v>5.1912981886360621E-2</v>
      </c>
      <c r="N11" s="36" t="str">
        <f t="shared" si="2"/>
        <v>Fertiliser, Insecticide, Fungicide emissions activity data +5%/-5%</v>
      </c>
    </row>
    <row r="12" spans="2:15">
      <c r="B12" s="23" t="s">
        <v>242</v>
      </c>
      <c r="C12" s="23" t="str">
        <f>'Uncertainty Analysis'!C23</f>
        <v xml:space="preserve">2nd order </v>
      </c>
      <c r="D12" s="23" t="str">
        <f>'Uncertainty Analysis'!D23</f>
        <v>Electricity, Fuel, Water emissions</v>
      </c>
      <c r="E12" s="33">
        <f>'Uncertainty Analysis'!$O23</f>
        <v>3750</v>
      </c>
      <c r="F12" s="214">
        <v>-0.05</v>
      </c>
      <c r="G12" s="214">
        <v>0.05</v>
      </c>
      <c r="H12" s="48">
        <f>E12+(F12*E12)</f>
        <v>3562.5</v>
      </c>
      <c r="I12" s="34">
        <f t="shared" ref="I12" si="3">E12+(G12*E12)</f>
        <v>3937.5</v>
      </c>
      <c r="J12" s="34">
        <f>('Uncertainty Analysis'!$E$12*1000)-($E12*$E19)+(H12*$E19)</f>
        <v>-2102.1798114479143</v>
      </c>
      <c r="K12" s="34">
        <f>('Uncertainty Analysis'!$E$12*1000)-($E12*$E19)+(I12*$E19)</f>
        <v>-2103.2678651819019</v>
      </c>
      <c r="L12" s="35">
        <f>J12/(Calculator!$C$42*1000)-1</f>
        <v>-2.5872482970967781E-4</v>
      </c>
      <c r="M12" s="35">
        <f>K12/(Calculator!$C$42*1000)-1</f>
        <v>2.5872482970901167E-4</v>
      </c>
      <c r="N12" s="36" t="str">
        <f t="shared" si="2"/>
        <v>Electricity, Fuel, Water emissions activity data +5%/-5%</v>
      </c>
    </row>
    <row r="13" spans="2:15">
      <c r="B13" s="23" t="s">
        <v>243</v>
      </c>
      <c r="C13" s="23" t="str">
        <f>'Uncertainty Analysis'!C24</f>
        <v xml:space="preserve">1st order </v>
      </c>
      <c r="D13" s="23" t="str">
        <f>'Uncertainty Analysis'!D24</f>
        <v>gaiaTron Station (v3.1, incl. mast)</v>
      </c>
      <c r="E13" s="33">
        <f>'Uncertainty Analysis'!$O24</f>
        <v>1.3488038157942861</v>
      </c>
      <c r="F13" s="214">
        <v>-0.05</v>
      </c>
      <c r="G13" s="214">
        <v>0.05</v>
      </c>
      <c r="H13" s="48">
        <f t="shared" si="0"/>
        <v>1.2813636250045719</v>
      </c>
      <c r="I13" s="34">
        <f t="shared" si="1"/>
        <v>1.4162440065840003</v>
      </c>
      <c r="J13" s="34">
        <f>('Uncertainty Analysis'!$E$12*1000)-($E13*$E20)+(H13*$E20)</f>
        <v>-2102.7238383149083</v>
      </c>
      <c r="K13" s="34">
        <f>('Uncertainty Analysis'!$E$12*1000)-($E13*$E20)+(I13*$E20)</f>
        <v>-2102.7238383149083</v>
      </c>
      <c r="L13" s="35">
        <f>J13/(Calculator!$C$42*1000)-1</f>
        <v>0</v>
      </c>
      <c r="M13" s="35">
        <f>K13/(Calculator!$C$42*1000)-1</f>
        <v>0</v>
      </c>
      <c r="N13" s="36" t="str">
        <f t="shared" si="2"/>
        <v>gaiaTron Station (v3.1, incl. mast) emission factor +5%/-5%</v>
      </c>
    </row>
    <row r="14" spans="2:15">
      <c r="B14" s="23" t="s">
        <v>243</v>
      </c>
      <c r="C14" s="23" t="str">
        <f>'Uncertainty Analysis'!C25</f>
        <v xml:space="preserve">1st order </v>
      </c>
      <c r="D14" s="23" t="str">
        <f>'Uncertainty Analysis'!D25</f>
        <v>Solar Radiation Sensor</v>
      </c>
      <c r="E14" s="33">
        <f>'Uncertainty Analysis'!$O25</f>
        <v>1.1311185730000002</v>
      </c>
      <c r="F14" s="214">
        <v>-0.05</v>
      </c>
      <c r="G14" s="214">
        <v>0.05</v>
      </c>
      <c r="H14" s="48">
        <f t="shared" si="0"/>
        <v>1.0745626443500003</v>
      </c>
      <c r="I14" s="34">
        <f t="shared" si="1"/>
        <v>1.1876745016500001</v>
      </c>
      <c r="J14" s="34">
        <f>('Uncertainty Analysis'!$E$12*1000)-($E14*$E21)+(H14*$E21)</f>
        <v>-2102.7238383149083</v>
      </c>
      <c r="K14" s="34">
        <f>('Uncertainty Analysis'!$E$12*1000)-($E14*$E21)+(I14*$E21)</f>
        <v>-2102.7238383149083</v>
      </c>
      <c r="L14" s="35">
        <f>J14/(Calculator!$C$42*1000)-1</f>
        <v>0</v>
      </c>
      <c r="M14" s="35">
        <f>K14/(Calculator!$C$42*1000)-1</f>
        <v>0</v>
      </c>
      <c r="N14" s="36" t="str">
        <f t="shared" si="2"/>
        <v>Solar Radiation Sensor emission factor +5%/-5%</v>
      </c>
    </row>
    <row r="15" spans="2:15">
      <c r="B15" s="23" t="s">
        <v>243</v>
      </c>
      <c r="C15" s="23" t="str">
        <f>'Uncertainty Analysis'!C26</f>
        <v xml:space="preserve">1st order </v>
      </c>
      <c r="D15" s="23" t="str">
        <f>'Uncertainty Analysis'!D26</f>
        <v>Air Temperature &amp; Humidity Sensor</v>
      </c>
      <c r="E15" s="33">
        <f>'Uncertainty Analysis'!$O26</f>
        <v>1.1357069140000002</v>
      </c>
      <c r="F15" s="214">
        <v>-0.05</v>
      </c>
      <c r="G15" s="214">
        <v>0.05</v>
      </c>
      <c r="H15" s="48">
        <f>E15+(F15*E15)</f>
        <v>1.0789215683000002</v>
      </c>
      <c r="I15" s="34">
        <f>E15+(G15*E15)</f>
        <v>1.1924922597000003</v>
      </c>
      <c r="J15" s="34">
        <f>('Uncertainty Analysis'!$E$12*1000)-($E15*$E22)+(H15*$E22)</f>
        <v>-2102.7238383149083</v>
      </c>
      <c r="K15" s="34">
        <f>('Uncertainty Analysis'!$E$12*1000)-($E15*$E22)+(I15*$E22)</f>
        <v>-2102.7238383149083</v>
      </c>
      <c r="L15" s="35">
        <f>J15/(Calculator!$C$42*1000)-1</f>
        <v>0</v>
      </c>
      <c r="M15" s="35">
        <f>K15/(Calculator!$C$42*1000)-1</f>
        <v>0</v>
      </c>
      <c r="N15" s="36" t="str">
        <f>D15&amp;" "&amp;B15&amp;" +"&amp;TEXT(G15,"0%")&amp;"/"&amp;TEXT(F15,"0%")</f>
        <v>Air Temperature &amp; Humidity Sensor emission factor +5%/-5%</v>
      </c>
    </row>
    <row r="16" spans="2:15">
      <c r="B16" s="23" t="s">
        <v>243</v>
      </c>
      <c r="C16" s="23" t="str">
        <f>'Uncertainty Analysis'!C27</f>
        <v xml:space="preserve">1st order </v>
      </c>
      <c r="D16" s="23" t="str">
        <f>'Uncertainty Analysis'!D27</f>
        <v>Leaf Wetness Sensor</v>
      </c>
      <c r="E16" s="33">
        <f>'Uncertainty Analysis'!$O27</f>
        <v>2.2622371460000004</v>
      </c>
      <c r="F16" s="214">
        <v>-0.05</v>
      </c>
      <c r="G16" s="214">
        <v>0.05</v>
      </c>
      <c r="H16" s="48">
        <f t="shared" ref="H16" si="4">E16+(F16*E16)</f>
        <v>2.1491252887000005</v>
      </c>
      <c r="I16" s="34">
        <f t="shared" ref="I16" si="5">E16+(G16*E16)</f>
        <v>2.3753490033000002</v>
      </c>
      <c r="J16" s="34">
        <f>('Uncertainty Analysis'!$E$12*1000)-($E16*$E23)+(H16*$E23)</f>
        <v>-2102.7238383149083</v>
      </c>
      <c r="K16" s="34">
        <f>('Uncertainty Analysis'!$E$12*1000)-($E16*$E23)+(I16*$E23)</f>
        <v>-2102.7238383149083</v>
      </c>
      <c r="L16" s="35">
        <f>J16/(Calculator!$C$42*1000)-1</f>
        <v>0</v>
      </c>
      <c r="M16" s="35">
        <f>K16/(Calculator!$C$42*1000)-1</f>
        <v>0</v>
      </c>
      <c r="N16" s="36" t="str">
        <f t="shared" ref="N16" si="6">D16&amp;" "&amp;B16&amp;" +"&amp;TEXT(G16,"0%")&amp;"/"&amp;TEXT(F16,"0%")</f>
        <v>Leaf Wetness Sensor emission factor +5%/-5%</v>
      </c>
    </row>
    <row r="17" spans="2:14">
      <c r="B17" s="23" t="s">
        <v>243</v>
      </c>
      <c r="C17" s="23" t="str">
        <f>'Uncertainty Analysis'!C28</f>
        <v xml:space="preserve">1st order </v>
      </c>
      <c r="D17" s="23" t="str">
        <f>'Uncertainty Analysis'!D28</f>
        <v>Soil Multi-sensor</v>
      </c>
      <c r="E17" s="33">
        <f>'Uncertainty Analysis'!$O28</f>
        <v>1.1311185730000002</v>
      </c>
      <c r="F17" s="214">
        <v>-0.05</v>
      </c>
      <c r="G17" s="214">
        <v>0.05</v>
      </c>
      <c r="H17" s="48">
        <f t="shared" ref="H17" si="7">E17+(F17*E17)</f>
        <v>1.0745626443500003</v>
      </c>
      <c r="I17" s="34">
        <f t="shared" ref="I17" si="8">E17+(G17*E17)</f>
        <v>1.1876745016500001</v>
      </c>
      <c r="J17" s="34">
        <f>('Uncertainty Analysis'!$E$12*1000)-($E17*$E24)+(H17*$E24)</f>
        <v>-2102.7238383149083</v>
      </c>
      <c r="K17" s="34">
        <f>('Uncertainty Analysis'!$E$12*1000)-($E17*$E24)+(I17*$E24)</f>
        <v>-2102.7238383149083</v>
      </c>
      <c r="L17" s="35">
        <f>J17/(Calculator!$C$42*1000)-1</f>
        <v>0</v>
      </c>
      <c r="M17" s="35">
        <f>K17/(Calculator!$C$42*1000)-1</f>
        <v>0</v>
      </c>
      <c r="N17" s="36" t="str">
        <f t="shared" ref="N17" si="9">D17&amp;" "&amp;B17&amp;" +"&amp;TEXT(G17,"0%")&amp;"/"&amp;TEXT(F17,"0%")</f>
        <v>Soil Multi-sensor emission factor +5%/-5%</v>
      </c>
    </row>
    <row r="18" spans="2:14">
      <c r="B18" s="23" t="s">
        <v>243</v>
      </c>
      <c r="C18" s="23" t="str">
        <f>'Uncertainty Analysis'!C29</f>
        <v xml:space="preserve">2nd order </v>
      </c>
      <c r="D18" s="23" t="str">
        <f>'Uncertainty Analysis'!D29</f>
        <v>Fertiliser, Insecticide, Fungicide emissions</v>
      </c>
      <c r="E18" s="33">
        <f>'Uncertainty Analysis'!$O29</f>
        <v>-0.58217954416245932</v>
      </c>
      <c r="F18" s="214">
        <v>-0.05</v>
      </c>
      <c r="G18" s="214">
        <v>0.05</v>
      </c>
      <c r="H18" s="48">
        <f t="shared" ref="H18:H19" si="10">E18+(F18*E18)</f>
        <v>-0.55307056695433632</v>
      </c>
      <c r="I18" s="34">
        <f t="shared" ref="I18:I19" si="11">E18+(G18*E18)</f>
        <v>-0.61128852137058232</v>
      </c>
      <c r="J18" s="34">
        <f>('Uncertainty Analysis'!$E$12*1000)-($E18*$E25)+(H18*$E25)</f>
        <v>-2102.7238383149083</v>
      </c>
      <c r="K18" s="34">
        <f>('Uncertainty Analysis'!$E$12*1000)-($E18*$E25)+(I18*$E25)</f>
        <v>-2102.7238383149083</v>
      </c>
      <c r="L18" s="35">
        <f>J18/(Calculator!$C$42*1000)-1</f>
        <v>0</v>
      </c>
      <c r="M18" s="35">
        <f>K18/(Calculator!$C$42*1000)-1</f>
        <v>0</v>
      </c>
      <c r="N18" s="36" t="str">
        <f t="shared" ref="N18:N19" si="12">D18&amp;" "&amp;B18&amp;" +"&amp;TEXT(G18,"0%")&amp;"/"&amp;TEXT(F18,"0%")</f>
        <v>Fertiliser, Insecticide, Fungicide emissions emission factor +5%/-5%</v>
      </c>
    </row>
    <row r="19" spans="2:14">
      <c r="B19" s="23" t="s">
        <v>243</v>
      </c>
      <c r="C19" s="23" t="str">
        <f>'Uncertainty Analysis'!C30</f>
        <v xml:space="preserve">2nd order </v>
      </c>
      <c r="D19" s="23" t="str">
        <f>'Uncertainty Analysis'!D30</f>
        <v>Electricity, Fuel, Water emissions</v>
      </c>
      <c r="E19" s="33">
        <f>'Uncertainty Analysis'!$O30</f>
        <v>-2.9014766239671141E-3</v>
      </c>
      <c r="F19" s="214">
        <v>-0.05</v>
      </c>
      <c r="G19" s="214">
        <v>0.05</v>
      </c>
      <c r="H19" s="48">
        <f t="shared" si="10"/>
        <v>-2.7564027927687584E-3</v>
      </c>
      <c r="I19" s="34">
        <f t="shared" si="11"/>
        <v>-3.0465504551654699E-3</v>
      </c>
      <c r="J19" s="34">
        <f>('Uncertainty Analysis'!$E$12*1000)-($E19*$E26)+(H19*$E26)</f>
        <v>-2102.7238383149083</v>
      </c>
      <c r="K19" s="34">
        <f>('Uncertainty Analysis'!$E$12*1000)-($E19*$E26)+(I19*$E26)</f>
        <v>-2102.7238383149083</v>
      </c>
      <c r="L19" s="35">
        <f>J19/(Calculator!$C$42*1000)-1</f>
        <v>0</v>
      </c>
      <c r="M19" s="35">
        <f>K19/(Calculator!$C$42*1000)-1</f>
        <v>0</v>
      </c>
      <c r="N19" s="36" t="str">
        <f t="shared" si="12"/>
        <v>Electricity, Fuel, Water emissions emission factor +5%/-5%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F8EF-C524-4943-8FAE-87B37D61A5EA}">
  <sheetPr>
    <tabColor rgb="FF183C73"/>
  </sheetPr>
  <dimension ref="B2:K111"/>
  <sheetViews>
    <sheetView topLeftCell="A101" zoomScaleNormal="100" workbookViewId="0">
      <selection activeCell="D107" sqref="D107"/>
    </sheetView>
  </sheetViews>
  <sheetFormatPr defaultRowHeight="19.5"/>
  <cols>
    <col min="2" max="2" width="30" style="3" customWidth="1"/>
    <col min="3" max="3" width="54.625" style="3" customWidth="1"/>
    <col min="4" max="4" width="42.375" style="3" customWidth="1"/>
    <col min="5" max="5" width="31.5" style="3" customWidth="1"/>
    <col min="6" max="6" width="43.75" style="3" customWidth="1"/>
    <col min="7" max="7" width="17" customWidth="1"/>
    <col min="8" max="8" width="17.625" customWidth="1"/>
    <col min="9" max="9" width="16.125" customWidth="1"/>
    <col min="10" max="10" width="19.625" customWidth="1"/>
    <col min="11" max="11" width="43.625" customWidth="1"/>
  </cols>
  <sheetData>
    <row r="2" spans="2:5" ht="18.75" customHeight="1">
      <c r="B2" s="80" t="s">
        <v>244</v>
      </c>
    </row>
    <row r="3" spans="2:5">
      <c r="B3" s="81" t="s">
        <v>245</v>
      </c>
    </row>
    <row r="4" spans="2:5">
      <c r="B4" s="67" t="s">
        <v>55</v>
      </c>
    </row>
    <row r="6" spans="2:5">
      <c r="B6" s="73" t="s">
        <v>246</v>
      </c>
      <c r="C6" s="73" t="s">
        <v>247</v>
      </c>
      <c r="D6" s="73" t="s">
        <v>65</v>
      </c>
      <c r="E6" s="73" t="s">
        <v>58</v>
      </c>
    </row>
    <row r="7" spans="2:5">
      <c r="B7" s="23" t="s">
        <v>160</v>
      </c>
      <c r="C7" s="23" t="s">
        <v>248</v>
      </c>
      <c r="D7" s="84">
        <f>Backend!E5</f>
        <v>0.53</v>
      </c>
      <c r="E7" s="23" t="s">
        <v>62</v>
      </c>
    </row>
    <row r="8" spans="2:5">
      <c r="B8" s="23" t="s">
        <v>160</v>
      </c>
      <c r="C8" s="23" t="s">
        <v>249</v>
      </c>
      <c r="D8" s="84">
        <f>'R_Scenario_2022(FPS)'!H13</f>
        <v>550.1</v>
      </c>
      <c r="E8" s="23" t="s">
        <v>84</v>
      </c>
    </row>
    <row r="9" spans="2:5">
      <c r="B9" s="23" t="s">
        <v>160</v>
      </c>
      <c r="C9" s="23" t="s">
        <v>250</v>
      </c>
      <c r="D9" s="84">
        <f>SUM('R_Scenario_2022(FPS)'!H14:H15,'R_Scenario_2022(FPS)'!H17)</f>
        <v>6</v>
      </c>
      <c r="E9" s="23" t="s">
        <v>84</v>
      </c>
    </row>
    <row r="10" spans="2:5">
      <c r="B10" s="23" t="s">
        <v>160</v>
      </c>
      <c r="C10" s="23" t="s">
        <v>251</v>
      </c>
      <c r="D10" s="84">
        <f>'R_Scenario_2022(FPS)'!H16</f>
        <v>275.47000000000003</v>
      </c>
      <c r="E10" s="23" t="s">
        <v>84</v>
      </c>
    </row>
    <row r="11" spans="2:5">
      <c r="B11" s="23" t="s">
        <v>160</v>
      </c>
      <c r="C11" s="23" t="s">
        <v>90</v>
      </c>
      <c r="D11" s="84">
        <f>'R_Scenario_2022(FPS)'!H18</f>
        <v>550.94000000000005</v>
      </c>
      <c r="E11" s="23" t="s">
        <v>84</v>
      </c>
    </row>
    <row r="12" spans="2:5">
      <c r="B12" s="23" t="s">
        <v>160</v>
      </c>
      <c r="C12" s="23" t="s">
        <v>92</v>
      </c>
      <c r="D12" s="84">
        <f>'R_Scenario_2022(FPS)'!H19</f>
        <v>1981</v>
      </c>
      <c r="E12" s="23" t="s">
        <v>84</v>
      </c>
    </row>
    <row r="13" spans="2:5">
      <c r="B13" s="23" t="s">
        <v>160</v>
      </c>
      <c r="C13" s="23" t="s">
        <v>252</v>
      </c>
      <c r="D13" s="84">
        <f>'R_Scenario_2022(FPS)'!H21</f>
        <v>1.5</v>
      </c>
      <c r="E13" s="23" t="s">
        <v>84</v>
      </c>
    </row>
    <row r="14" spans="2:5">
      <c r="B14" s="23" t="s">
        <v>160</v>
      </c>
      <c r="C14" s="23" t="s">
        <v>590</v>
      </c>
      <c r="D14" s="84">
        <f>'R_Scenario_2022(FPS)'!H22</f>
        <v>0.25</v>
      </c>
      <c r="E14" s="23" t="s">
        <v>84</v>
      </c>
    </row>
    <row r="15" spans="2:5">
      <c r="B15" s="23" t="s">
        <v>160</v>
      </c>
      <c r="C15" s="23" t="s">
        <v>253</v>
      </c>
      <c r="D15" s="84">
        <f>'R_Scenario_2022(FPS)'!H23</f>
        <v>2</v>
      </c>
      <c r="E15" s="23" t="s">
        <v>84</v>
      </c>
    </row>
    <row r="16" spans="2:5">
      <c r="B16" s="23" t="s">
        <v>160</v>
      </c>
      <c r="C16" s="23" t="s">
        <v>591</v>
      </c>
      <c r="D16" s="84">
        <v>2</v>
      </c>
      <c r="E16" s="23" t="s">
        <v>84</v>
      </c>
    </row>
    <row r="17" spans="2:5">
      <c r="B17" s="23" t="s">
        <v>160</v>
      </c>
      <c r="C17" s="23" t="s">
        <v>254</v>
      </c>
      <c r="D17" s="84">
        <f>SUM('R_Scenario_2022(FPS)'!H27:H34)</f>
        <v>1838.6309999999996</v>
      </c>
      <c r="E17" s="23" t="s">
        <v>81</v>
      </c>
    </row>
    <row r="18" spans="2:5">
      <c r="B18" s="23" t="s">
        <v>160</v>
      </c>
      <c r="C18" s="23" t="s">
        <v>255</v>
      </c>
      <c r="D18" s="84">
        <f>SUM('R_Scenario_2022(FPS)'!H36:H38,'R_Scenario_2022(FPS)'!H40:H43)</f>
        <v>92.641509433962256</v>
      </c>
      <c r="E18" s="23" t="s">
        <v>75</v>
      </c>
    </row>
    <row r="19" spans="2:5">
      <c r="B19" s="23" t="s">
        <v>160</v>
      </c>
      <c r="C19" s="23" t="s">
        <v>256</v>
      </c>
      <c r="D19" s="84">
        <f>SUM('R_Scenario_2022(FPS)'!H39,'R_Scenario_2022(FPS)'!H44)</f>
        <v>160.37754716981132</v>
      </c>
      <c r="E19" s="23" t="s">
        <v>75</v>
      </c>
    </row>
    <row r="20" spans="2:5">
      <c r="B20" s="23" t="s">
        <v>160</v>
      </c>
      <c r="C20" s="23" t="s">
        <v>257</v>
      </c>
      <c r="D20" s="84">
        <f>SUM('R_Scenario_2022(FPS)'!J27:J34)</f>
        <v>1365</v>
      </c>
      <c r="E20" s="23" t="s">
        <v>258</v>
      </c>
    </row>
    <row r="21" spans="2:5">
      <c r="B21" s="23" t="s">
        <v>160</v>
      </c>
      <c r="C21" s="23" t="s">
        <v>259</v>
      </c>
      <c r="D21" s="85">
        <f>$D$7*D8</f>
        <v>291.55300000000005</v>
      </c>
      <c r="E21" s="23" t="s">
        <v>71</v>
      </c>
    </row>
    <row r="22" spans="2:5">
      <c r="B22" s="23" t="s">
        <v>160</v>
      </c>
      <c r="C22" s="23" t="s">
        <v>250</v>
      </c>
      <c r="D22" s="85">
        <f>$D$7*D9</f>
        <v>3.18</v>
      </c>
      <c r="E22" s="23" t="s">
        <v>71</v>
      </c>
    </row>
    <row r="23" spans="2:5">
      <c r="B23" s="23" t="s">
        <v>160</v>
      </c>
      <c r="C23" s="23" t="s">
        <v>251</v>
      </c>
      <c r="D23" s="85">
        <f>$D$7*D10</f>
        <v>145.99910000000003</v>
      </c>
      <c r="E23" s="23" t="s">
        <v>71</v>
      </c>
    </row>
    <row r="24" spans="2:5">
      <c r="B24" s="23" t="s">
        <v>160</v>
      </c>
      <c r="C24" s="23" t="s">
        <v>90</v>
      </c>
      <c r="D24" s="85">
        <f>$D$7*D11</f>
        <v>291.99820000000005</v>
      </c>
      <c r="E24" s="23" t="s">
        <v>71</v>
      </c>
    </row>
    <row r="25" spans="2:5">
      <c r="B25" s="23" t="s">
        <v>160</v>
      </c>
      <c r="C25" s="23" t="s">
        <v>92</v>
      </c>
      <c r="D25" s="85">
        <f>$D$7*D12</f>
        <v>1049.93</v>
      </c>
      <c r="E25" s="23" t="s">
        <v>71</v>
      </c>
    </row>
    <row r="26" spans="2:5">
      <c r="B26" s="23" t="s">
        <v>160</v>
      </c>
      <c r="C26" s="23" t="s">
        <v>260</v>
      </c>
      <c r="D26" s="85">
        <f>D21*C82</f>
        <v>37.901890000000009</v>
      </c>
      <c r="E26" s="83" t="s">
        <v>261</v>
      </c>
    </row>
    <row r="27" spans="2:5">
      <c r="B27" s="23" t="s">
        <v>160</v>
      </c>
      <c r="C27" s="23" t="s">
        <v>86</v>
      </c>
      <c r="D27" s="85">
        <f>D22*C81</f>
        <v>0.63600000000000012</v>
      </c>
      <c r="E27" s="83" t="s">
        <v>261</v>
      </c>
    </row>
    <row r="28" spans="2:5">
      <c r="B28" s="23" t="s">
        <v>160</v>
      </c>
      <c r="C28" s="23" t="s">
        <v>88</v>
      </c>
      <c r="D28" s="85">
        <f>D23*C79</f>
        <v>30.659811000000005</v>
      </c>
      <c r="E28" s="83" t="s">
        <v>261</v>
      </c>
    </row>
    <row r="29" spans="2:5">
      <c r="B29" s="23" t="s">
        <v>160</v>
      </c>
      <c r="C29" s="23" t="s">
        <v>262</v>
      </c>
      <c r="D29" s="85">
        <f>$D$7*D13</f>
        <v>0.79500000000000004</v>
      </c>
      <c r="E29" s="23" t="s">
        <v>71</v>
      </c>
    </row>
    <row r="30" spans="2:5">
      <c r="B30" s="23" t="s">
        <v>160</v>
      </c>
      <c r="C30" s="23" t="s">
        <v>590</v>
      </c>
      <c r="D30" s="85">
        <f>$D$7*D14</f>
        <v>0.13250000000000001</v>
      </c>
      <c r="E30" s="23" t="s">
        <v>71</v>
      </c>
    </row>
    <row r="31" spans="2:5">
      <c r="B31" s="23" t="s">
        <v>160</v>
      </c>
      <c r="C31" s="23" t="s">
        <v>263</v>
      </c>
      <c r="D31" s="85">
        <f>$D$7*D15</f>
        <v>1.06</v>
      </c>
      <c r="E31" s="23" t="s">
        <v>71</v>
      </c>
    </row>
    <row r="32" spans="2:5">
      <c r="B32" s="23" t="s">
        <v>160</v>
      </c>
      <c r="C32" s="23" t="s">
        <v>591</v>
      </c>
      <c r="D32" s="85">
        <f>$D$7*D16</f>
        <v>1.06</v>
      </c>
      <c r="E32" s="23" t="s">
        <v>71</v>
      </c>
    </row>
    <row r="33" spans="2:5">
      <c r="B33" s="23" t="s">
        <v>160</v>
      </c>
      <c r="C33" s="23" t="s">
        <v>94</v>
      </c>
      <c r="D33" s="85">
        <f>D29*C72</f>
        <v>0.59625000000000006</v>
      </c>
      <c r="E33" s="23" t="s">
        <v>163</v>
      </c>
    </row>
    <row r="34" spans="2:5">
      <c r="B34" s="23" t="s">
        <v>160</v>
      </c>
      <c r="C34" s="23" t="s">
        <v>585</v>
      </c>
      <c r="D34" s="85">
        <f>D30*C73</f>
        <v>3.3125000000000002E-2</v>
      </c>
      <c r="E34" s="23" t="s">
        <v>163</v>
      </c>
    </row>
    <row r="35" spans="2:5">
      <c r="B35" s="23" t="s">
        <v>160</v>
      </c>
      <c r="C35" s="23" t="s">
        <v>264</v>
      </c>
      <c r="D35" s="85">
        <f>D31*C74</f>
        <v>0.25440000000000002</v>
      </c>
      <c r="E35" s="23" t="s">
        <v>163</v>
      </c>
    </row>
    <row r="36" spans="2:5">
      <c r="B36" s="23" t="s">
        <v>160</v>
      </c>
      <c r="C36" s="23" t="s">
        <v>592</v>
      </c>
      <c r="D36" s="85">
        <f>D32*C75</f>
        <v>0.318</v>
      </c>
      <c r="E36" s="23" t="s">
        <v>163</v>
      </c>
    </row>
    <row r="37" spans="2:5">
      <c r="B37" s="23" t="s">
        <v>160</v>
      </c>
      <c r="C37" s="23" t="s">
        <v>254</v>
      </c>
      <c r="D37" s="85">
        <f>$D$7*D17</f>
        <v>974.47442999999987</v>
      </c>
      <c r="E37" s="23" t="s">
        <v>116</v>
      </c>
    </row>
    <row r="38" spans="2:5">
      <c r="B38" s="23" t="s">
        <v>160</v>
      </c>
      <c r="C38" s="23" t="s">
        <v>255</v>
      </c>
      <c r="D38" s="85">
        <f>$D$7*D18</f>
        <v>49.1</v>
      </c>
      <c r="E38" s="23" t="s">
        <v>265</v>
      </c>
    </row>
    <row r="39" spans="2:5">
      <c r="B39" s="23" t="s">
        <v>160</v>
      </c>
      <c r="C39" s="23" t="s">
        <v>256</v>
      </c>
      <c r="D39" s="85">
        <f>$D$7*D19</f>
        <v>85.000100000000003</v>
      </c>
      <c r="E39" s="23" t="s">
        <v>265</v>
      </c>
    </row>
    <row r="40" spans="2:5">
      <c r="B40" s="23" t="s">
        <v>160</v>
      </c>
      <c r="C40" s="23" t="s">
        <v>257</v>
      </c>
      <c r="D40" s="85">
        <f>$D$7*D20</f>
        <v>723.45</v>
      </c>
      <c r="E40" s="23" t="s">
        <v>102</v>
      </c>
    </row>
    <row r="41" spans="2:5">
      <c r="B41" s="23" t="s">
        <v>162</v>
      </c>
      <c r="C41" s="23" t="s">
        <v>251</v>
      </c>
      <c r="D41" s="84">
        <f>'DS_Scenario_2024(FPS)'!J13</f>
        <v>275.47000000000003</v>
      </c>
      <c r="E41" s="23" t="s">
        <v>84</v>
      </c>
    </row>
    <row r="42" spans="2:5">
      <c r="B42" s="23" t="s">
        <v>162</v>
      </c>
      <c r="C42" s="23" t="s">
        <v>266</v>
      </c>
      <c r="D42" s="84">
        <f>'DS_Scenario_2024(FPS)'!J14</f>
        <v>0.27539999999999998</v>
      </c>
      <c r="E42" s="23" t="s">
        <v>84</v>
      </c>
    </row>
    <row r="43" spans="2:5">
      <c r="B43" s="23" t="s">
        <v>162</v>
      </c>
      <c r="C43" s="23" t="s">
        <v>250</v>
      </c>
      <c r="D43" s="84">
        <f>SUM('DS_Scenario_2024(FPS)'!J15)</f>
        <v>4</v>
      </c>
      <c r="E43" s="23" t="s">
        <v>84</v>
      </c>
    </row>
    <row r="44" spans="2:5">
      <c r="B44" s="23" t="s">
        <v>162</v>
      </c>
      <c r="C44" s="23" t="s">
        <v>92</v>
      </c>
      <c r="D44" s="84">
        <f>'DS_Scenario_2024(FPS)'!J17</f>
        <v>1830</v>
      </c>
      <c r="E44" s="23" t="s">
        <v>84</v>
      </c>
    </row>
    <row r="45" spans="2:5">
      <c r="B45" s="23" t="s">
        <v>162</v>
      </c>
      <c r="C45" s="23" t="s">
        <v>591</v>
      </c>
      <c r="D45" s="84">
        <f>'DS_Scenario_2024(FPS)'!J19</f>
        <v>2</v>
      </c>
      <c r="E45" s="23" t="s">
        <v>84</v>
      </c>
    </row>
    <row r="46" spans="2:5">
      <c r="B46" s="23" t="s">
        <v>162</v>
      </c>
      <c r="C46" s="23" t="s">
        <v>253</v>
      </c>
      <c r="D46" s="84">
        <f>'DS_Scenario_2024(FPS)'!J20</f>
        <v>2</v>
      </c>
      <c r="E46" s="23" t="s">
        <v>84</v>
      </c>
    </row>
    <row r="47" spans="2:5">
      <c r="B47" s="23" t="s">
        <v>162</v>
      </c>
      <c r="C47" s="23" t="s">
        <v>254</v>
      </c>
      <c r="D47" s="84">
        <f>SUM('DS_Scenario_2024(FPS)'!J22)</f>
        <v>2103.7735849056608</v>
      </c>
      <c r="E47" s="23" t="s">
        <v>81</v>
      </c>
    </row>
    <row r="48" spans="2:5">
      <c r="B48" s="23" t="s">
        <v>162</v>
      </c>
      <c r="C48" s="23" t="s">
        <v>255</v>
      </c>
      <c r="D48" s="84">
        <f>SUM('DS_Scenario_2024(FPS)'!J41:J42,'DS_Scenario_2024(FPS)'!J44:J46)</f>
        <v>83.207547169811306</v>
      </c>
      <c r="E48" s="23" t="s">
        <v>75</v>
      </c>
    </row>
    <row r="49" spans="2:5">
      <c r="B49" s="23" t="s">
        <v>162</v>
      </c>
      <c r="C49" s="23" t="s">
        <v>256</v>
      </c>
      <c r="D49" s="84">
        <f>SUM('DS_Scenario_2024(FPS)'!J43,'DS_Scenario_2024(FPS)'!J47)</f>
        <v>160.37754716981132</v>
      </c>
      <c r="E49" s="23" t="s">
        <v>75</v>
      </c>
    </row>
    <row r="50" spans="2:5">
      <c r="B50" s="23" t="s">
        <v>162</v>
      </c>
      <c r="C50" s="23" t="s">
        <v>257</v>
      </c>
      <c r="D50" s="84">
        <f>SUM('DS_Scenario_2024(FPS)'!J31)</f>
        <v>1561</v>
      </c>
      <c r="E50" s="23" t="s">
        <v>102</v>
      </c>
    </row>
    <row r="51" spans="2:5">
      <c r="B51" s="23" t="s">
        <v>162</v>
      </c>
      <c r="C51" s="23" t="s">
        <v>251</v>
      </c>
      <c r="D51" s="85">
        <f>D41*$D$7</f>
        <v>145.99910000000003</v>
      </c>
      <c r="E51" s="23" t="s">
        <v>71</v>
      </c>
    </row>
    <row r="52" spans="2:5">
      <c r="B52" s="23" t="s">
        <v>162</v>
      </c>
      <c r="C52" s="23" t="s">
        <v>266</v>
      </c>
      <c r="D52" s="85">
        <f>D42*$D$7</f>
        <v>0.14596200000000001</v>
      </c>
      <c r="E52" s="23" t="s">
        <v>71</v>
      </c>
    </row>
    <row r="53" spans="2:5">
      <c r="B53" s="23" t="s">
        <v>162</v>
      </c>
      <c r="C53" s="23" t="s">
        <v>250</v>
      </c>
      <c r="D53" s="85">
        <f>D43*$D$7</f>
        <v>2.12</v>
      </c>
      <c r="E53" s="23" t="s">
        <v>71</v>
      </c>
    </row>
    <row r="54" spans="2:5">
      <c r="B54" s="23" t="s">
        <v>162</v>
      </c>
      <c r="C54" s="23" t="s">
        <v>92</v>
      </c>
      <c r="D54" s="85">
        <f>'DS_Scenario_2024(FPS)'!H17*$D$7</f>
        <v>969.90000000000009</v>
      </c>
      <c r="E54" s="23" t="s">
        <v>71</v>
      </c>
    </row>
    <row r="55" spans="2:5">
      <c r="B55" s="23" t="s">
        <v>162</v>
      </c>
      <c r="C55" s="23" t="s">
        <v>88</v>
      </c>
      <c r="D55" s="85">
        <f>D51*C79</f>
        <v>30.659811000000005</v>
      </c>
      <c r="E55" s="83" t="s">
        <v>261</v>
      </c>
    </row>
    <row r="56" spans="2:5">
      <c r="B56" s="23" t="s">
        <v>162</v>
      </c>
      <c r="C56" s="23" t="s">
        <v>267</v>
      </c>
      <c r="D56" s="85">
        <f>D52*C80</f>
        <v>7.1521380000000006E-3</v>
      </c>
      <c r="E56" s="83" t="s">
        <v>261</v>
      </c>
    </row>
    <row r="57" spans="2:5">
      <c r="B57" s="23" t="s">
        <v>162</v>
      </c>
      <c r="C57" s="23" t="s">
        <v>86</v>
      </c>
      <c r="D57" s="85">
        <f>D53*C81</f>
        <v>0.42400000000000004</v>
      </c>
      <c r="E57" s="83" t="s">
        <v>261</v>
      </c>
    </row>
    <row r="58" spans="2:5">
      <c r="B58" s="23" t="s">
        <v>162</v>
      </c>
      <c r="C58" s="23" t="s">
        <v>262</v>
      </c>
      <c r="D58" s="85">
        <v>0</v>
      </c>
      <c r="E58" s="23" t="s">
        <v>71</v>
      </c>
    </row>
    <row r="59" spans="2:5">
      <c r="B59" s="23" t="s">
        <v>162</v>
      </c>
      <c r="C59" s="23" t="s">
        <v>590</v>
      </c>
      <c r="D59" s="85">
        <v>0</v>
      </c>
      <c r="E59" s="23" t="s">
        <v>71</v>
      </c>
    </row>
    <row r="60" spans="2:5">
      <c r="B60" s="23" t="s">
        <v>162</v>
      </c>
      <c r="C60" s="23" t="s">
        <v>593</v>
      </c>
      <c r="D60" s="85">
        <f>'DS_Scenario_2024(FPS)'!H19*$D$7</f>
        <v>1.06</v>
      </c>
      <c r="E60" s="23" t="s">
        <v>71</v>
      </c>
    </row>
    <row r="61" spans="2:5">
      <c r="B61" s="23" t="s">
        <v>162</v>
      </c>
      <c r="C61" s="23" t="s">
        <v>263</v>
      </c>
      <c r="D61" s="85">
        <f>'DS_Scenario_2024(FPS)'!H20*$D$7</f>
        <v>1.06</v>
      </c>
      <c r="E61" s="23" t="s">
        <v>71</v>
      </c>
    </row>
    <row r="62" spans="2:5">
      <c r="B62" s="23" t="s">
        <v>162</v>
      </c>
      <c r="C62" s="23" t="s">
        <v>94</v>
      </c>
      <c r="D62" s="85">
        <f t="shared" ref="D62:D63" si="0">D58*C73</f>
        <v>0</v>
      </c>
      <c r="E62" s="23" t="s">
        <v>163</v>
      </c>
    </row>
    <row r="63" spans="2:5">
      <c r="B63" s="23" t="s">
        <v>162</v>
      </c>
      <c r="C63" s="23" t="s">
        <v>585</v>
      </c>
      <c r="D63" s="85">
        <f t="shared" si="0"/>
        <v>0</v>
      </c>
      <c r="E63" s="23" t="s">
        <v>163</v>
      </c>
    </row>
    <row r="64" spans="2:5">
      <c r="B64" s="23" t="s">
        <v>162</v>
      </c>
      <c r="C64" s="23" t="s">
        <v>591</v>
      </c>
      <c r="D64" s="85">
        <f>D60*C75</f>
        <v>0.318</v>
      </c>
      <c r="E64" s="23" t="s">
        <v>163</v>
      </c>
    </row>
    <row r="65" spans="2:5">
      <c r="B65" s="23" t="s">
        <v>162</v>
      </c>
      <c r="C65" s="23" t="s">
        <v>253</v>
      </c>
      <c r="D65" s="85">
        <f>D61*C74</f>
        <v>0.25440000000000002</v>
      </c>
      <c r="E65" s="23" t="s">
        <v>163</v>
      </c>
    </row>
    <row r="66" spans="2:5">
      <c r="B66" s="23" t="s">
        <v>162</v>
      </c>
      <c r="C66" s="23" t="s">
        <v>268</v>
      </c>
      <c r="D66" s="85">
        <f>D47*$D$7</f>
        <v>1115.0000000000002</v>
      </c>
      <c r="E66" s="23" t="s">
        <v>116</v>
      </c>
    </row>
    <row r="67" spans="2:5">
      <c r="B67" s="23" t="s">
        <v>162</v>
      </c>
      <c r="C67" s="23" t="s">
        <v>255</v>
      </c>
      <c r="D67" s="85">
        <f>D48*$D$7</f>
        <v>44.099999999999994</v>
      </c>
      <c r="E67" s="23" t="s">
        <v>265</v>
      </c>
    </row>
    <row r="68" spans="2:5">
      <c r="B68" s="23" t="s">
        <v>162</v>
      </c>
      <c r="C68" s="23" t="s">
        <v>256</v>
      </c>
      <c r="D68" s="85">
        <f>D49*$D$7</f>
        <v>85.000100000000003</v>
      </c>
      <c r="E68" s="23" t="s">
        <v>265</v>
      </c>
    </row>
    <row r="69" spans="2:5">
      <c r="B69" s="23" t="s">
        <v>162</v>
      </c>
      <c r="C69" s="23" t="s">
        <v>257</v>
      </c>
      <c r="D69" s="85">
        <f>D50*$D$7</f>
        <v>827.33</v>
      </c>
      <c r="E69" s="23" t="s">
        <v>102</v>
      </c>
    </row>
    <row r="71" spans="2:5">
      <c r="B71" s="158" t="s">
        <v>269</v>
      </c>
      <c r="C71" s="158" t="s">
        <v>270</v>
      </c>
    </row>
    <row r="72" spans="2:5">
      <c r="B72" s="23" t="s">
        <v>271</v>
      </c>
      <c r="C72" s="82">
        <v>0.75</v>
      </c>
    </row>
    <row r="73" spans="2:5">
      <c r="B73" s="23" t="s">
        <v>272</v>
      </c>
      <c r="C73" s="82">
        <v>0.25</v>
      </c>
    </row>
    <row r="74" spans="2:5">
      <c r="B74" s="23" t="s">
        <v>273</v>
      </c>
      <c r="C74" s="82">
        <v>0.24</v>
      </c>
    </row>
    <row r="75" spans="2:5">
      <c r="B75" s="23" t="s">
        <v>274</v>
      </c>
      <c r="C75" s="82">
        <v>0.3</v>
      </c>
    </row>
    <row r="78" spans="2:5">
      <c r="B78" s="158" t="s">
        <v>158</v>
      </c>
      <c r="C78" s="158" t="s">
        <v>275</v>
      </c>
      <c r="D78" s="158" t="s">
        <v>276</v>
      </c>
      <c r="E78" s="158" t="s">
        <v>277</v>
      </c>
    </row>
    <row r="79" spans="2:5">
      <c r="B79" s="23" t="s">
        <v>278</v>
      </c>
      <c r="C79" s="82">
        <v>0.21</v>
      </c>
      <c r="D79" s="82">
        <v>0</v>
      </c>
      <c r="E79" s="82">
        <v>0</v>
      </c>
    </row>
    <row r="80" spans="2:5">
      <c r="B80" s="23" t="s">
        <v>279</v>
      </c>
      <c r="C80" s="82">
        <v>4.9000000000000002E-2</v>
      </c>
      <c r="D80" s="82">
        <v>2.9000000000000001E-2</v>
      </c>
      <c r="E80" s="82">
        <v>8.9999999999999993E-3</v>
      </c>
    </row>
    <row r="81" spans="2:5">
      <c r="B81" s="23" t="s">
        <v>280</v>
      </c>
      <c r="C81" s="82">
        <v>0.2</v>
      </c>
      <c r="D81" s="82">
        <v>0.2</v>
      </c>
      <c r="E81" s="82">
        <v>0.2</v>
      </c>
    </row>
    <row r="82" spans="2:5">
      <c r="B82" s="23" t="s">
        <v>249</v>
      </c>
      <c r="C82" s="82">
        <v>0.13</v>
      </c>
      <c r="D82" s="82">
        <v>0.11</v>
      </c>
      <c r="E82" s="82">
        <v>0.21</v>
      </c>
    </row>
    <row r="85" spans="2:5">
      <c r="B85" s="73" t="s">
        <v>281</v>
      </c>
      <c r="C85" s="73" t="s">
        <v>169</v>
      </c>
      <c r="D85" s="73" t="s">
        <v>170</v>
      </c>
    </row>
    <row r="86" spans="2:5" ht="59.25" customHeight="1">
      <c r="B86" s="23" t="s">
        <v>594</v>
      </c>
      <c r="C86" s="159" t="s">
        <v>282</v>
      </c>
      <c r="D86" s="110">
        <f>'Emission Factors'!D51</f>
        <v>0.21</v>
      </c>
    </row>
    <row r="87" spans="2:5" ht="52.5" customHeight="1">
      <c r="B87" s="23" t="s">
        <v>594</v>
      </c>
      <c r="C87" s="75" t="s">
        <v>595</v>
      </c>
      <c r="D87" s="110">
        <f>'Emission Factors'!D52</f>
        <v>0.01</v>
      </c>
    </row>
    <row r="88" spans="2:5" ht="47.1" customHeight="1">
      <c r="B88" s="23" t="s">
        <v>283</v>
      </c>
      <c r="C88" s="76" t="s">
        <v>284</v>
      </c>
      <c r="D88" s="110">
        <f>'Emission Factors'!D53</f>
        <v>0.24</v>
      </c>
    </row>
    <row r="89" spans="2:5" ht="35.450000000000003" customHeight="1">
      <c r="B89" s="23" t="s">
        <v>283</v>
      </c>
      <c r="C89" s="76" t="s">
        <v>285</v>
      </c>
      <c r="D89" s="110">
        <f>'Emission Factors'!D54</f>
        <v>1.0999999999999999E-2</v>
      </c>
    </row>
    <row r="90" spans="2:5" ht="21.95" customHeight="1">
      <c r="B90" s="23" t="s">
        <v>286</v>
      </c>
      <c r="C90" s="23" t="str">
        <f>'Emission Factors'!C55</f>
        <v>kgCO2e/kgN2O</v>
      </c>
      <c r="D90" s="110">
        <f>'Emission Factors'!D55</f>
        <v>273</v>
      </c>
    </row>
    <row r="91" spans="2:5" ht="21.95" customHeight="1">
      <c r="B91" s="23" t="s">
        <v>287</v>
      </c>
      <c r="C91" s="23"/>
      <c r="D91" s="110">
        <f>44/28</f>
        <v>1.5714285714285714</v>
      </c>
    </row>
    <row r="92" spans="2:5" ht="21.95" customHeight="1">
      <c r="B92" s="182" t="s">
        <v>288</v>
      </c>
      <c r="C92" s="158"/>
      <c r="D92" s="158"/>
    </row>
    <row r="93" spans="2:5" ht="21.95" customHeight="1"/>
    <row r="94" spans="2:5" ht="39">
      <c r="B94" s="186" t="s">
        <v>573</v>
      </c>
      <c r="C94" s="186" t="s">
        <v>575</v>
      </c>
    </row>
    <row r="95" spans="2:5">
      <c r="B95" s="67">
        <f>D87*D86</f>
        <v>2.0999999999999999E-3</v>
      </c>
      <c r="C95" s="216">
        <f>D88*D89</f>
        <v>2.6399999999999996E-3</v>
      </c>
    </row>
    <row r="97" spans="2:11">
      <c r="B97" s="3" t="s">
        <v>289</v>
      </c>
      <c r="D97"/>
      <c r="G97" s="3"/>
      <c r="H97" s="3"/>
      <c r="I97" s="3"/>
      <c r="J97" s="3"/>
    </row>
    <row r="98" spans="2:11">
      <c r="B98"/>
      <c r="C98" s="235" t="s">
        <v>290</v>
      </c>
      <c r="D98" s="235"/>
      <c r="E98" s="235"/>
      <c r="F98" s="235"/>
      <c r="G98" s="3"/>
      <c r="H98" s="3"/>
      <c r="I98" s="3"/>
      <c r="J98" s="3"/>
    </row>
    <row r="99" spans="2:11" ht="53.1" customHeight="1">
      <c r="B99" s="160" t="s">
        <v>291</v>
      </c>
      <c r="C99" s="160" t="s">
        <v>292</v>
      </c>
      <c r="D99" s="160" t="s">
        <v>293</v>
      </c>
      <c r="E99" s="160" t="s">
        <v>294</v>
      </c>
      <c r="F99" s="160" t="s">
        <v>295</v>
      </c>
      <c r="G99" s="92" t="s">
        <v>296</v>
      </c>
      <c r="H99" s="92" t="s">
        <v>297</v>
      </c>
      <c r="I99" s="92" t="s">
        <v>298</v>
      </c>
      <c r="J99" s="92" t="s">
        <v>596</v>
      </c>
    </row>
    <row r="100" spans="2:11">
      <c r="B100" s="23" t="s">
        <v>299</v>
      </c>
      <c r="C100" s="110">
        <v>32</v>
      </c>
      <c r="D100" s="110">
        <v>1.6</v>
      </c>
      <c r="E100" s="110">
        <v>6.4</v>
      </c>
      <c r="F100" s="110">
        <v>0.15</v>
      </c>
      <c r="G100" s="111">
        <f>C100*(D11/100)*(D100/1000)</f>
        <v>0.28208128000000005</v>
      </c>
      <c r="H100" s="111">
        <f>D11*(C100/100)*(E100/1000)*F100</f>
        <v>0.16924876800000002</v>
      </c>
      <c r="I100" s="111">
        <f>SUM(G100:H100)*D7</f>
        <v>0.23920492544000005</v>
      </c>
      <c r="J100" s="111">
        <f>I100*'Emission Factors'!D57*'Reference Data'!D90*D91</f>
        <v>1.0261891301376</v>
      </c>
    </row>
    <row r="101" spans="2:11" ht="39.950000000000003" customHeight="1">
      <c r="B101" s="161"/>
      <c r="C101" s="236" t="s">
        <v>300</v>
      </c>
      <c r="D101" s="237"/>
      <c r="E101" s="237"/>
      <c r="F101" s="218" t="s">
        <v>576</v>
      </c>
      <c r="G101" s="217"/>
      <c r="H101" s="217"/>
      <c r="I101" s="217"/>
      <c r="J101" s="217"/>
    </row>
    <row r="102" spans="2:11" s="91" customFormat="1">
      <c r="B102" s="162"/>
      <c r="C102" s="162"/>
      <c r="D102" s="162"/>
      <c r="E102" s="162"/>
      <c r="F102" s="162"/>
      <c r="K102"/>
    </row>
    <row r="103" spans="2:11" s="91" customFormat="1">
      <c r="B103" s="3" t="s">
        <v>301</v>
      </c>
      <c r="C103" s="181" t="s">
        <v>288</v>
      </c>
      <c r="D103" s="162"/>
      <c r="E103" s="162"/>
      <c r="F103" s="162"/>
    </row>
    <row r="104" spans="2:11" ht="48">
      <c r="B104" s="163" t="s">
        <v>302</v>
      </c>
      <c r="C104" s="163" t="s">
        <v>303</v>
      </c>
      <c r="D104" s="163" t="s">
        <v>598</v>
      </c>
      <c r="E104" s="164" t="s">
        <v>304</v>
      </c>
      <c r="F104" s="164" t="s">
        <v>305</v>
      </c>
      <c r="G104" s="164" t="s">
        <v>306</v>
      </c>
      <c r="H104" s="94" t="s">
        <v>597</v>
      </c>
    </row>
    <row r="105" spans="2:11">
      <c r="B105" s="23" t="s">
        <v>307</v>
      </c>
      <c r="C105" s="111">
        <f>D12</f>
        <v>1981</v>
      </c>
      <c r="D105" s="222">
        <v>0.5</v>
      </c>
      <c r="E105" s="110">
        <v>7.0000000000000001E-3</v>
      </c>
      <c r="F105" s="82">
        <v>0.05</v>
      </c>
      <c r="G105" s="111">
        <f>(C105*D105)*E105*F105*D7</f>
        <v>0.18373775000000003</v>
      </c>
      <c r="H105" s="111">
        <f>G105*'Emission Factors'!$D$57*'Reference Data'!$D$90*D91</f>
        <v>0.78823494750000023</v>
      </c>
    </row>
    <row r="106" spans="2:11">
      <c r="B106" s="23" t="s">
        <v>308</v>
      </c>
      <c r="C106" s="111">
        <f>D44</f>
        <v>1830</v>
      </c>
      <c r="D106" s="222">
        <v>0.5</v>
      </c>
      <c r="E106" s="110">
        <v>7.0000000000000001E-3</v>
      </c>
      <c r="F106" s="82">
        <v>0.05</v>
      </c>
      <c r="G106" s="111">
        <f>(C106*D106)*E106*F106*D7</f>
        <v>0.16973250000000004</v>
      </c>
      <c r="H106" s="111">
        <f>G106*'Emission Factors'!$D$57*'Reference Data'!$D$90*D91</f>
        <v>0.72815242500000021</v>
      </c>
    </row>
    <row r="107" spans="2:11" ht="33.950000000000003" customHeight="1">
      <c r="B107" s="161"/>
      <c r="C107" s="161"/>
      <c r="D107" s="223" t="s">
        <v>627</v>
      </c>
      <c r="E107" s="219" t="s">
        <v>577</v>
      </c>
      <c r="F107" s="220" t="s">
        <v>578</v>
      </c>
      <c r="G107" s="161"/>
      <c r="H107" s="93"/>
    </row>
    <row r="110" spans="2:11">
      <c r="E110"/>
    </row>
    <row r="111" spans="2:11">
      <c r="E111"/>
    </row>
  </sheetData>
  <mergeCells count="2">
    <mergeCell ref="C98:F98"/>
    <mergeCell ref="C101:E101"/>
  </mergeCells>
  <hyperlinks>
    <hyperlink ref="C103" r:id="rId1" display="https://www.ipcc-nggip.iges.or.jp/public/2019rf/pdf/4_Volume4/19R_V4_Ch11_Soils_N2O_CO2.pdf" xr:uid="{44050091-A364-411D-B454-FE0CD9074B5D}"/>
    <hyperlink ref="B92" r:id="rId2" display="https://www.ipcc-nggip.iges.or.jp/public/2019rf/pdf/4_Volume4/19R_V4_Ch11_Soils_N2O_CO2.pdf" xr:uid="{7EF74300-2CDE-42F0-BE16-20F392D61D3F}"/>
    <hyperlink ref="E107" r:id="rId3" display="https://www.sciencedirect.com/science/article/abs/pii/S030442389900045X" xr:uid="{9B570524-2DC7-48C9-B74E-795E1A6E5D50}"/>
    <hyperlink ref="F107" r:id="rId4" xr:uid="{230BB703-A39E-4B62-A633-FD1829E13DED}"/>
  </hyperlinks>
  <pageMargins left="0.7" right="0.7" top="0.75" bottom="0.75" header="0.3" footer="0.3"/>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BDA3-A036-4652-A950-426C29F136B8}">
  <sheetPr>
    <tabColor rgb="FF183C73"/>
  </sheetPr>
  <dimension ref="A1:J42"/>
  <sheetViews>
    <sheetView showGridLines="0" workbookViewId="0">
      <selection activeCell="E19" sqref="E19"/>
    </sheetView>
  </sheetViews>
  <sheetFormatPr defaultRowHeight="19.5"/>
  <cols>
    <col min="1" max="1" width="8.625" style="3"/>
    <col min="2" max="2" width="40.625" style="3" bestFit="1" customWidth="1"/>
    <col min="3" max="3" width="17.125" style="3" bestFit="1" customWidth="1"/>
    <col min="4" max="4" width="49" style="3" bestFit="1" customWidth="1"/>
    <col min="5" max="5" width="34.375" style="3" bestFit="1" customWidth="1"/>
    <col min="6" max="6" width="64.125" style="3" bestFit="1" customWidth="1"/>
    <col min="7" max="7" width="18.125" style="3" customWidth="1"/>
    <col min="8" max="8" width="12.25" style="3" customWidth="1"/>
    <col min="9" max="10" width="8.625" style="3"/>
  </cols>
  <sheetData>
    <row r="1" spans="2:8">
      <c r="B1" s="2" t="s">
        <v>309</v>
      </c>
      <c r="E1" s="80" t="s">
        <v>244</v>
      </c>
    </row>
    <row r="2" spans="2:8">
      <c r="B2" s="3" t="s">
        <v>310</v>
      </c>
      <c r="E2" s="81" t="s">
        <v>245</v>
      </c>
    </row>
    <row r="3" spans="2:8">
      <c r="E3" s="67" t="s">
        <v>55</v>
      </c>
    </row>
    <row r="5" spans="2:8">
      <c r="B5" s="3" t="s">
        <v>311</v>
      </c>
    </row>
    <row r="6" spans="2:8">
      <c r="B6" s="238" t="s">
        <v>628</v>
      </c>
      <c r="C6" s="238"/>
      <c r="D6" s="238"/>
      <c r="E6" s="238"/>
      <c r="F6" s="238"/>
      <c r="G6" s="107" t="s">
        <v>312</v>
      </c>
      <c r="H6" s="107" t="s">
        <v>313</v>
      </c>
    </row>
    <row r="7" spans="2:8" ht="39.6" customHeight="1">
      <c r="B7" s="108" t="s">
        <v>314</v>
      </c>
      <c r="C7" s="108" t="s">
        <v>315</v>
      </c>
      <c r="D7" s="108" t="s">
        <v>316</v>
      </c>
      <c r="E7" s="108" t="s">
        <v>317</v>
      </c>
      <c r="F7" s="108" t="s">
        <v>318</v>
      </c>
      <c r="G7" s="185" t="s">
        <v>319</v>
      </c>
      <c r="H7" s="185" t="s">
        <v>320</v>
      </c>
    </row>
    <row r="8" spans="2:8">
      <c r="B8" s="23" t="s">
        <v>617</v>
      </c>
      <c r="C8" s="23" t="s">
        <v>321</v>
      </c>
      <c r="D8" s="81" t="s">
        <v>322</v>
      </c>
      <c r="E8" s="23" t="s">
        <v>323</v>
      </c>
      <c r="F8" s="23" t="s">
        <v>324</v>
      </c>
      <c r="G8" s="23">
        <v>1.8859999999999999</v>
      </c>
      <c r="H8" s="85">
        <f>G8*35</f>
        <v>66.009999999999991</v>
      </c>
    </row>
    <row r="9" spans="2:8">
      <c r="B9" s="23" t="s">
        <v>138</v>
      </c>
      <c r="C9" s="23" t="s">
        <v>321</v>
      </c>
      <c r="D9" s="81" t="s">
        <v>325</v>
      </c>
      <c r="E9" s="23" t="s">
        <v>326</v>
      </c>
      <c r="F9" s="23" t="s">
        <v>327</v>
      </c>
      <c r="G9" s="23">
        <v>1.8859999999999999</v>
      </c>
      <c r="H9" s="85">
        <f>G9*(AVERAGE(0.15,0.3))</f>
        <v>0.42434999999999995</v>
      </c>
    </row>
    <row r="10" spans="2:8">
      <c r="B10" s="23" t="s">
        <v>579</v>
      </c>
      <c r="C10" s="23" t="s">
        <v>321</v>
      </c>
      <c r="D10" s="81" t="s">
        <v>328</v>
      </c>
      <c r="E10" s="23" t="s">
        <v>329</v>
      </c>
      <c r="F10" s="23" t="s">
        <v>327</v>
      </c>
      <c r="G10" s="23">
        <v>1.8859999999999999</v>
      </c>
      <c r="H10" s="85">
        <f>G10*(AVERAGE(0.2,0.3))</f>
        <v>0.47149999999999997</v>
      </c>
    </row>
    <row r="11" spans="2:8">
      <c r="B11" s="23" t="s">
        <v>580</v>
      </c>
      <c r="C11" s="23" t="s">
        <v>321</v>
      </c>
      <c r="D11" s="81" t="s">
        <v>330</v>
      </c>
      <c r="E11" s="23" t="s">
        <v>331</v>
      </c>
      <c r="F11" s="23" t="s">
        <v>332</v>
      </c>
      <c r="G11" s="23">
        <v>1.8859999999999999</v>
      </c>
      <c r="H11" s="85">
        <f>G11*(AVERAGE(0.1,0.2))</f>
        <v>0.28290000000000004</v>
      </c>
    </row>
    <row r="12" spans="2:8">
      <c r="B12" s="23" t="s">
        <v>144</v>
      </c>
      <c r="C12" s="23" t="s">
        <v>321</v>
      </c>
      <c r="D12" s="81" t="s">
        <v>333</v>
      </c>
      <c r="E12" s="23" t="s">
        <v>334</v>
      </c>
      <c r="F12" s="23" t="s">
        <v>327</v>
      </c>
      <c r="G12" s="23">
        <v>1.8859999999999999</v>
      </c>
      <c r="H12" s="85">
        <f>G12*(AVERAGE(0.25,0.35))</f>
        <v>0.56579999999999997</v>
      </c>
    </row>
    <row r="13" spans="2:8" ht="39">
      <c r="B13" s="23" t="s">
        <v>367</v>
      </c>
      <c r="C13" s="221">
        <v>1</v>
      </c>
      <c r="D13" s="81" t="s">
        <v>583</v>
      </c>
      <c r="E13" s="159" t="s">
        <v>581</v>
      </c>
      <c r="F13" s="23" t="s">
        <v>582</v>
      </c>
      <c r="G13" s="23">
        <v>1.8859999999999999</v>
      </c>
      <c r="H13" s="85">
        <f>G13*3.67</f>
        <v>6.9216199999999999</v>
      </c>
    </row>
    <row r="14" spans="2:8">
      <c r="B14" s="23" t="s">
        <v>335</v>
      </c>
      <c r="C14" s="23" t="s">
        <v>336</v>
      </c>
      <c r="D14" s="23" t="s">
        <v>337</v>
      </c>
      <c r="E14" s="23" t="s">
        <v>338</v>
      </c>
      <c r="F14" s="23" t="s">
        <v>339</v>
      </c>
      <c r="G14" s="23"/>
      <c r="H14" s="23" t="s">
        <v>340</v>
      </c>
    </row>
    <row r="15" spans="2:8">
      <c r="B15" s="23" t="s">
        <v>619</v>
      </c>
      <c r="C15" s="23" t="s">
        <v>336</v>
      </c>
      <c r="D15" s="23" t="s">
        <v>337</v>
      </c>
      <c r="E15" s="23" t="s">
        <v>341</v>
      </c>
      <c r="F15" s="23" t="s">
        <v>620</v>
      </c>
      <c r="G15" s="23"/>
      <c r="H15" s="23" t="s">
        <v>340</v>
      </c>
    </row>
    <row r="16" spans="2:8">
      <c r="B16" s="23" t="s">
        <v>342</v>
      </c>
      <c r="C16" s="23" t="s">
        <v>343</v>
      </c>
      <c r="D16" s="23" t="s">
        <v>337</v>
      </c>
      <c r="E16" s="23" t="s">
        <v>344</v>
      </c>
      <c r="F16" s="23" t="s">
        <v>345</v>
      </c>
      <c r="G16" s="23"/>
      <c r="H16" s="23" t="s">
        <v>340</v>
      </c>
    </row>
    <row r="17" spans="2:8">
      <c r="B17" s="23" t="s">
        <v>346</v>
      </c>
      <c r="C17" s="23" t="s">
        <v>343</v>
      </c>
      <c r="D17" s="23" t="s">
        <v>347</v>
      </c>
      <c r="E17" s="23" t="s">
        <v>348</v>
      </c>
      <c r="F17" s="23" t="s">
        <v>349</v>
      </c>
      <c r="G17" s="23"/>
      <c r="H17" s="23" t="s">
        <v>340</v>
      </c>
    </row>
    <row r="18" spans="2:8">
      <c r="B18" s="23" t="s">
        <v>350</v>
      </c>
      <c r="C18" s="23" t="s">
        <v>343</v>
      </c>
      <c r="D18" s="23" t="s">
        <v>351</v>
      </c>
      <c r="E18" s="23" t="s">
        <v>352</v>
      </c>
      <c r="F18" s="23" t="s">
        <v>353</v>
      </c>
      <c r="G18" s="23"/>
      <c r="H18" s="23" t="s">
        <v>340</v>
      </c>
    </row>
    <row r="22" spans="2:8">
      <c r="B22" s="3" t="s">
        <v>354</v>
      </c>
    </row>
    <row r="23" spans="2:8">
      <c r="B23" s="109" t="s">
        <v>63</v>
      </c>
      <c r="C23" s="77" t="s">
        <v>58</v>
      </c>
      <c r="D23" s="77" t="s">
        <v>65</v>
      </c>
      <c r="E23" s="77" t="s">
        <v>355</v>
      </c>
    </row>
    <row r="24" spans="2:8">
      <c r="B24" s="23" t="s">
        <v>621</v>
      </c>
      <c r="C24" s="23" t="s">
        <v>51</v>
      </c>
      <c r="D24" s="85">
        <f>(H8-H13)*'Emission Factors'!$D$35</f>
        <v>333.72795760477942</v>
      </c>
      <c r="E24" s="23"/>
    </row>
    <row r="25" spans="2:8">
      <c r="B25" s="23" t="s">
        <v>622</v>
      </c>
      <c r="C25" s="23" t="s">
        <v>51</v>
      </c>
      <c r="D25" s="85">
        <f>H13*'Emission Factors'!D36</f>
        <v>21.9054079351938</v>
      </c>
      <c r="E25" s="23"/>
    </row>
    <row r="26" spans="2:8">
      <c r="B26" s="23" t="s">
        <v>623</v>
      </c>
      <c r="C26" s="23" t="s">
        <v>51</v>
      </c>
      <c r="D26" s="85">
        <f>H8*'Emission Factors'!D42</f>
        <v>0.50479398234999995</v>
      </c>
      <c r="E26" s="23"/>
    </row>
    <row r="27" spans="2:8">
      <c r="B27" s="23" t="s">
        <v>618</v>
      </c>
      <c r="C27" s="23" t="s">
        <v>51</v>
      </c>
      <c r="D27" s="85">
        <f>SUM(D24:D26)/4</f>
        <v>89.034539880580809</v>
      </c>
      <c r="E27" s="23" t="s">
        <v>356</v>
      </c>
      <c r="F27" s="150"/>
    </row>
    <row r="28" spans="2:8">
      <c r="B28" s="23" t="s">
        <v>357</v>
      </c>
      <c r="C28" s="23" t="s">
        <v>51</v>
      </c>
      <c r="D28" s="85">
        <f>SUM(H9*'Emission Factors'!$D$35)</f>
        <v>2.3967057280904998</v>
      </c>
      <c r="E28" s="23"/>
    </row>
    <row r="29" spans="2:8">
      <c r="B29" s="23" t="s">
        <v>358</v>
      </c>
      <c r="C29" s="23" t="s">
        <v>51</v>
      </c>
      <c r="D29" s="85">
        <f>H9*'Emission Factors'!D42</f>
        <v>3.2451041722499998E-3</v>
      </c>
      <c r="E29" s="23"/>
    </row>
    <row r="30" spans="2:8">
      <c r="B30" s="23" t="s">
        <v>139</v>
      </c>
      <c r="C30" s="23" t="s">
        <v>51</v>
      </c>
      <c r="D30" s="85">
        <f>SUM(D28:D29)/5</f>
        <v>0.47999016645254999</v>
      </c>
      <c r="E30" s="23" t="s">
        <v>359</v>
      </c>
    </row>
    <row r="31" spans="2:8">
      <c r="B31" s="23" t="s">
        <v>141</v>
      </c>
      <c r="C31" s="23" t="s">
        <v>51</v>
      </c>
      <c r="D31" s="85">
        <f>(SUM((H10*'Emission Factors'!$D$35)))</f>
        <v>2.6630063645450002</v>
      </c>
      <c r="E31" s="23"/>
    </row>
    <row r="32" spans="2:8">
      <c r="B32" s="23" t="s">
        <v>360</v>
      </c>
      <c r="C32" s="23" t="s">
        <v>51</v>
      </c>
      <c r="D32" s="85">
        <f>G10*'Emission Factors'!D42</f>
        <v>1.4422685209999999E-2</v>
      </c>
      <c r="E32" s="23"/>
    </row>
    <row r="33" spans="2:5">
      <c r="B33" s="23" t="s">
        <v>361</v>
      </c>
      <c r="C33" s="23" t="s">
        <v>51</v>
      </c>
      <c r="D33" s="85">
        <f>SUM(D31:D32)/5</f>
        <v>0.53548580995100004</v>
      </c>
      <c r="E33" s="23" t="s">
        <v>359</v>
      </c>
    </row>
    <row r="34" spans="2:5">
      <c r="B34" s="23" t="s">
        <v>143</v>
      </c>
      <c r="C34" s="23" t="s">
        <v>51</v>
      </c>
      <c r="D34" s="85">
        <f>(SUM((H11*'Emission Factors'!$D$35)))</f>
        <v>1.5978038187270005</v>
      </c>
      <c r="E34" s="23"/>
    </row>
    <row r="35" spans="2:5">
      <c r="B35" s="23" t="s">
        <v>362</v>
      </c>
      <c r="C35" s="23" t="s">
        <v>51</v>
      </c>
      <c r="D35" s="85">
        <f>H11*'Emission Factors'!D42</f>
        <v>2.1634027815000006E-3</v>
      </c>
      <c r="E35" s="23"/>
    </row>
    <row r="36" spans="2:5">
      <c r="B36" s="23" t="s">
        <v>363</v>
      </c>
      <c r="C36" s="23" t="s">
        <v>51</v>
      </c>
      <c r="D36" s="85">
        <f>SUM(D34:D35)/2.5</f>
        <v>0.63998688860340025</v>
      </c>
      <c r="E36" s="23" t="s">
        <v>364</v>
      </c>
    </row>
    <row r="37" spans="2:5">
      <c r="B37" s="23" t="s">
        <v>145</v>
      </c>
      <c r="C37" s="23" t="s">
        <v>51</v>
      </c>
      <c r="D37" s="85">
        <f>(SUM(H12*'Emission Factors'!$D$35))</f>
        <v>3.1956076374540001</v>
      </c>
      <c r="E37" s="23"/>
    </row>
    <row r="38" spans="2:5">
      <c r="B38" s="23" t="s">
        <v>365</v>
      </c>
      <c r="C38" s="23" t="s">
        <v>51</v>
      </c>
      <c r="D38" s="85">
        <f>H12*'Emission Factors'!D42</f>
        <v>4.3268055630000003E-3</v>
      </c>
      <c r="E38" s="23"/>
    </row>
    <row r="39" spans="2:5">
      <c r="B39" s="23" t="s">
        <v>366</v>
      </c>
      <c r="C39" s="23" t="s">
        <v>51</v>
      </c>
      <c r="D39" s="85">
        <f>SUM(D37:D38)/5</f>
        <v>0.63998688860340003</v>
      </c>
      <c r="E39" s="23" t="s">
        <v>359</v>
      </c>
    </row>
    <row r="42" spans="2:5">
      <c r="B42" s="109" t="s">
        <v>624</v>
      </c>
      <c r="D42" s="109" t="s">
        <v>367</v>
      </c>
    </row>
  </sheetData>
  <mergeCells count="1">
    <mergeCell ref="B6:F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E5CB-62CE-4BB9-8F66-3241CEAB2B86}">
  <sheetPr>
    <tabColor rgb="FF002060"/>
  </sheetPr>
  <dimension ref="B2:E66"/>
  <sheetViews>
    <sheetView showGridLines="0" workbookViewId="0"/>
  </sheetViews>
  <sheetFormatPr defaultColWidth="9" defaultRowHeight="19.5"/>
  <cols>
    <col min="1" max="1" width="8.625" style="3"/>
    <col min="2" max="2" width="42.875" style="3" customWidth="1"/>
    <col min="3" max="3" width="65.375" style="3" customWidth="1"/>
    <col min="4" max="4" width="44" style="3" customWidth="1"/>
    <col min="5" max="5" width="15.5" style="3" customWidth="1"/>
    <col min="6" max="9" width="8.625" style="3"/>
    <col min="10" max="16384" width="9" style="3"/>
  </cols>
  <sheetData>
    <row r="2" spans="2:4" ht="21">
      <c r="B2" s="59" t="s">
        <v>136</v>
      </c>
    </row>
    <row r="4" spans="2:4" ht="58.5">
      <c r="B4" s="169" t="s">
        <v>368</v>
      </c>
      <c r="C4" s="32" t="s">
        <v>369</v>
      </c>
      <c r="D4" s="46"/>
    </row>
    <row r="5" spans="2:4">
      <c r="B5" s="19" t="s">
        <v>584</v>
      </c>
      <c r="C5" s="72">
        <v>0.32200000000000001</v>
      </c>
      <c r="D5" s="46"/>
    </row>
    <row r="6" spans="2:4">
      <c r="B6" s="242" t="s">
        <v>370</v>
      </c>
      <c r="C6" s="243"/>
      <c r="D6" s="46"/>
    </row>
    <row r="7" spans="2:4">
      <c r="B7" s="46"/>
      <c r="C7" s="46"/>
      <c r="D7" s="46"/>
    </row>
    <row r="8" spans="2:4">
      <c r="B8" s="170" t="s">
        <v>158</v>
      </c>
      <c r="C8" s="170" t="s">
        <v>371</v>
      </c>
      <c r="D8" s="170" t="s">
        <v>372</v>
      </c>
    </row>
    <row r="9" spans="2:4">
      <c r="B9" s="33" t="s">
        <v>373</v>
      </c>
      <c r="C9" s="19"/>
      <c r="D9" s="72">
        <v>6.9</v>
      </c>
    </row>
    <row r="10" spans="2:4">
      <c r="B10" s="33" t="s">
        <v>374</v>
      </c>
      <c r="C10" s="19"/>
      <c r="D10" s="72">
        <v>1.0601100000000001</v>
      </c>
    </row>
    <row r="11" spans="2:4">
      <c r="B11" s="33" t="s">
        <v>375</v>
      </c>
      <c r="C11" s="19"/>
      <c r="D11" s="171">
        <v>3.142857142857143E-3</v>
      </c>
    </row>
    <row r="12" spans="2:4">
      <c r="B12" s="33" t="s">
        <v>120</v>
      </c>
      <c r="C12" s="19"/>
      <c r="D12" s="72">
        <v>0.12638297872340426</v>
      </c>
    </row>
    <row r="13" spans="2:4">
      <c r="B13" s="19" t="s">
        <v>91</v>
      </c>
      <c r="C13" s="19"/>
      <c r="D13" s="72">
        <v>1.1357999999999999</v>
      </c>
    </row>
    <row r="14" spans="2:4">
      <c r="B14" s="33" t="s">
        <v>376</v>
      </c>
      <c r="C14" s="19"/>
      <c r="D14" s="171">
        <v>3.2999999999999995E-3</v>
      </c>
    </row>
    <row r="15" spans="2:4">
      <c r="B15" s="244" t="s">
        <v>377</v>
      </c>
      <c r="C15" s="245"/>
      <c r="D15" s="245"/>
    </row>
    <row r="16" spans="2:4">
      <c r="B16" s="46"/>
      <c r="C16" s="46"/>
      <c r="D16" s="46"/>
    </row>
    <row r="17" spans="2:4">
      <c r="B17" s="46"/>
      <c r="C17" s="46"/>
      <c r="D17" s="46"/>
    </row>
    <row r="18" spans="2:4">
      <c r="B18" s="17" t="s">
        <v>378</v>
      </c>
      <c r="C18" s="17" t="s">
        <v>371</v>
      </c>
      <c r="D18" s="17" t="s">
        <v>372</v>
      </c>
    </row>
    <row r="19" spans="2:4">
      <c r="B19" s="19" t="s">
        <v>132</v>
      </c>
      <c r="C19" s="19"/>
      <c r="D19" s="88">
        <v>14.3</v>
      </c>
    </row>
    <row r="20" spans="2:4">
      <c r="B20" s="19" t="s">
        <v>134</v>
      </c>
      <c r="C20" s="19"/>
      <c r="D20" s="72">
        <v>18.7</v>
      </c>
    </row>
    <row r="21" spans="2:4">
      <c r="B21" s="246" t="s">
        <v>379</v>
      </c>
      <c r="C21" s="247"/>
      <c r="D21" s="247"/>
    </row>
    <row r="22" spans="2:4">
      <c r="B22" s="46"/>
      <c r="C22" s="46"/>
      <c r="D22" s="46"/>
    </row>
    <row r="23" spans="2:4">
      <c r="B23" s="46"/>
      <c r="C23" s="46"/>
      <c r="D23" s="46"/>
    </row>
    <row r="24" spans="2:4">
      <c r="B24" s="17" t="s">
        <v>124</v>
      </c>
      <c r="C24" s="17" t="s">
        <v>371</v>
      </c>
      <c r="D24" s="17" t="s">
        <v>380</v>
      </c>
    </row>
    <row r="25" spans="2:4">
      <c r="B25" s="19" t="s">
        <v>124</v>
      </c>
      <c r="C25" s="19"/>
      <c r="D25" s="23">
        <v>0.15311</v>
      </c>
    </row>
    <row r="26" spans="2:4">
      <c r="B26" s="241" t="s">
        <v>569</v>
      </c>
      <c r="C26" s="241"/>
      <c r="D26" s="241"/>
    </row>
    <row r="27" spans="2:4">
      <c r="B27" s="19"/>
      <c r="C27" s="19"/>
      <c r="D27" s="19"/>
    </row>
    <row r="28" spans="2:4">
      <c r="B28" s="17" t="s">
        <v>381</v>
      </c>
      <c r="C28" s="17" t="s">
        <v>371</v>
      </c>
      <c r="D28" s="17" t="s">
        <v>372</v>
      </c>
    </row>
    <row r="29" spans="2:4">
      <c r="B29" s="19" t="s">
        <v>197</v>
      </c>
      <c r="C29" s="19"/>
      <c r="D29" s="72">
        <v>2.3622445698637504</v>
      </c>
    </row>
    <row r="30" spans="2:4">
      <c r="B30" s="19" t="s">
        <v>382</v>
      </c>
      <c r="C30" s="19"/>
      <c r="D30" s="72">
        <v>2.6350992505124999</v>
      </c>
    </row>
    <row r="31" spans="2:4">
      <c r="B31" s="241" t="s">
        <v>569</v>
      </c>
      <c r="C31" s="241"/>
      <c r="D31" s="241"/>
    </row>
    <row r="32" spans="2:4">
      <c r="B32" s="19"/>
      <c r="C32" s="19"/>
      <c r="D32" s="19"/>
    </row>
    <row r="33" spans="2:4">
      <c r="B33" s="17" t="s">
        <v>383</v>
      </c>
      <c r="C33" s="17" t="s">
        <v>371</v>
      </c>
      <c r="D33" s="17" t="s">
        <v>372</v>
      </c>
    </row>
    <row r="34" spans="2:4">
      <c r="B34" s="19" t="s">
        <v>384</v>
      </c>
      <c r="C34" s="19" t="s">
        <v>385</v>
      </c>
      <c r="D34" s="148">
        <f>24865.47556/1000</f>
        <v>24.86547556</v>
      </c>
    </row>
    <row r="35" spans="2:4">
      <c r="B35" s="19" t="s">
        <v>386</v>
      </c>
      <c r="C35" s="19" t="s">
        <v>385</v>
      </c>
      <c r="D35" s="149">
        <f>5647.94563/1000</f>
        <v>5.6479456300000006</v>
      </c>
    </row>
    <row r="36" spans="2:4">
      <c r="B36" s="19" t="s">
        <v>387</v>
      </c>
      <c r="C36" s="19" t="s">
        <v>385</v>
      </c>
      <c r="D36" s="72">
        <f>3164.78049/1000</f>
        <v>3.1647804900000001</v>
      </c>
    </row>
    <row r="37" spans="2:4">
      <c r="B37" s="19" t="s">
        <v>388</v>
      </c>
      <c r="C37" s="19" t="s">
        <v>389</v>
      </c>
      <c r="D37" s="72">
        <f>3172.49932/1000</f>
        <v>3.17249932</v>
      </c>
    </row>
    <row r="38" spans="2:4">
      <c r="B38" s="19" t="s">
        <v>390</v>
      </c>
      <c r="C38" s="19" t="s">
        <v>391</v>
      </c>
      <c r="D38" s="72">
        <f>5133.01/1000</f>
        <v>5.1330100000000005</v>
      </c>
    </row>
    <row r="39" spans="2:4">
      <c r="B39" s="241" t="s">
        <v>569</v>
      </c>
      <c r="C39" s="241"/>
      <c r="D39" s="241"/>
    </row>
    <row r="40" spans="2:4">
      <c r="B40" s="19"/>
      <c r="C40" s="19"/>
      <c r="D40" s="19"/>
    </row>
    <row r="41" spans="2:4">
      <c r="B41" s="17" t="s">
        <v>392</v>
      </c>
      <c r="C41" s="17" t="s">
        <v>371</v>
      </c>
      <c r="D41" s="17" t="s">
        <v>372</v>
      </c>
    </row>
    <row r="42" spans="2:4">
      <c r="B42" s="19" t="s">
        <v>385</v>
      </c>
      <c r="C42" s="19" t="s">
        <v>393</v>
      </c>
      <c r="D42" s="78">
        <f>AVERAGE(8.88386,6.41061)/1000</f>
        <v>7.6472350000000005E-3</v>
      </c>
    </row>
    <row r="43" spans="2:4">
      <c r="B43" s="19" t="s">
        <v>385</v>
      </c>
      <c r="C43" s="19" t="s">
        <v>394</v>
      </c>
      <c r="D43" s="78">
        <f t="shared" ref="D43:D45" si="0">AVERAGE(8.88386,6.41061)/1000</f>
        <v>7.6472350000000005E-3</v>
      </c>
    </row>
    <row r="44" spans="2:4">
      <c r="B44" s="19" t="s">
        <v>385</v>
      </c>
      <c r="C44" s="19" t="s">
        <v>395</v>
      </c>
      <c r="D44" s="78">
        <f t="shared" si="0"/>
        <v>7.6472350000000005E-3</v>
      </c>
    </row>
    <row r="45" spans="2:4">
      <c r="B45" s="19" t="s">
        <v>389</v>
      </c>
      <c r="C45" s="19" t="s">
        <v>396</v>
      </c>
      <c r="D45" s="78">
        <f t="shared" si="0"/>
        <v>7.6472350000000005E-3</v>
      </c>
    </row>
    <row r="46" spans="2:4">
      <c r="B46" s="241" t="s">
        <v>569</v>
      </c>
      <c r="C46" s="241"/>
      <c r="D46" s="241"/>
    </row>
    <row r="47" spans="2:4">
      <c r="B47" s="46"/>
      <c r="C47" s="46"/>
      <c r="D47" s="46"/>
    </row>
    <row r="48" spans="2:4">
      <c r="B48" s="46"/>
      <c r="C48" s="46"/>
      <c r="D48" s="46"/>
    </row>
    <row r="49" spans="2:5">
      <c r="B49" s="46"/>
      <c r="C49" s="46"/>
      <c r="D49" s="46"/>
    </row>
    <row r="50" spans="2:5">
      <c r="B50" s="17" t="s">
        <v>281</v>
      </c>
      <c r="C50" s="17" t="s">
        <v>169</v>
      </c>
      <c r="D50" s="17" t="s">
        <v>170</v>
      </c>
    </row>
    <row r="51" spans="2:5">
      <c r="B51" s="19" t="s">
        <v>594</v>
      </c>
      <c r="C51" s="19" t="s">
        <v>282</v>
      </c>
      <c r="D51" s="19">
        <v>0.21</v>
      </c>
    </row>
    <row r="52" spans="2:5" ht="39">
      <c r="B52" s="19" t="s">
        <v>594</v>
      </c>
      <c r="C52" s="74" t="s">
        <v>595</v>
      </c>
      <c r="D52" s="90">
        <v>0.01</v>
      </c>
    </row>
    <row r="53" spans="2:5" ht="39">
      <c r="B53" s="19" t="s">
        <v>283</v>
      </c>
      <c r="C53" s="74" t="s">
        <v>284</v>
      </c>
      <c r="D53" s="74">
        <v>0.24</v>
      </c>
    </row>
    <row r="54" spans="2:5">
      <c r="B54" s="19" t="s">
        <v>283</v>
      </c>
      <c r="C54" s="74" t="s">
        <v>285</v>
      </c>
      <c r="D54" s="90">
        <v>1.0999999999999999E-2</v>
      </c>
    </row>
    <row r="55" spans="2:5">
      <c r="B55" s="19" t="s">
        <v>397</v>
      </c>
      <c r="C55" s="19" t="s">
        <v>398</v>
      </c>
      <c r="D55" s="19">
        <v>273</v>
      </c>
    </row>
    <row r="56" spans="2:5">
      <c r="B56" s="19" t="s">
        <v>399</v>
      </c>
      <c r="C56" s="19" t="s">
        <v>174</v>
      </c>
      <c r="D56" s="88">
        <f>44/28</f>
        <v>1.5714285714285714</v>
      </c>
    </row>
    <row r="57" spans="2:5" ht="58.5">
      <c r="B57" s="33" t="s">
        <v>604</v>
      </c>
      <c r="C57" s="172" t="s">
        <v>400</v>
      </c>
      <c r="D57" s="72">
        <v>0.01</v>
      </c>
    </row>
    <row r="58" spans="2:5">
      <c r="B58" s="239" t="s">
        <v>401</v>
      </c>
      <c r="C58" s="239"/>
      <c r="D58" s="240"/>
    </row>
    <row r="60" spans="2:5">
      <c r="B60" s="2" t="s">
        <v>402</v>
      </c>
    </row>
    <row r="61" spans="2:5">
      <c r="B61" s="31" t="s">
        <v>180</v>
      </c>
      <c r="C61" s="31" t="s">
        <v>181</v>
      </c>
      <c r="D61" s="31" t="s">
        <v>182</v>
      </c>
      <c r="E61" s="31" t="s">
        <v>403</v>
      </c>
    </row>
    <row r="62" spans="2:5">
      <c r="B62" s="184" t="s">
        <v>404</v>
      </c>
      <c r="C62" s="184" t="s">
        <v>192</v>
      </c>
      <c r="D62" s="23" t="s">
        <v>621</v>
      </c>
      <c r="E62" s="24">
        <f>Backend!M57/FirstOrderEffectsComponents!H8</f>
        <v>1.3488038157942861</v>
      </c>
    </row>
    <row r="63" spans="2:5">
      <c r="B63" s="184" t="s">
        <v>404</v>
      </c>
      <c r="C63" s="184" t="s">
        <v>192</v>
      </c>
      <c r="D63" s="23" t="s">
        <v>357</v>
      </c>
      <c r="E63" s="24">
        <f>Backend!M58/FirstOrderEffectsComponents!H9</f>
        <v>1.1311185730000002</v>
      </c>
    </row>
    <row r="64" spans="2:5">
      <c r="B64" s="184" t="s">
        <v>404</v>
      </c>
      <c r="C64" s="184" t="s">
        <v>192</v>
      </c>
      <c r="D64" s="23" t="s">
        <v>141</v>
      </c>
      <c r="E64" s="24">
        <f>Backend!M59/FirstOrderEffectsComponents!H10</f>
        <v>1.1357069140000002</v>
      </c>
    </row>
    <row r="65" spans="2:5">
      <c r="B65" s="184" t="s">
        <v>404</v>
      </c>
      <c r="C65" s="184" t="s">
        <v>192</v>
      </c>
      <c r="D65" s="23" t="s">
        <v>143</v>
      </c>
      <c r="E65" s="24">
        <f>Backend!M60/FirstOrderEffectsComponents!H11</f>
        <v>2.2622371460000004</v>
      </c>
    </row>
    <row r="66" spans="2:5">
      <c r="B66" s="184" t="s">
        <v>404</v>
      </c>
      <c r="C66" s="184" t="s">
        <v>192</v>
      </c>
      <c r="D66" s="23" t="s">
        <v>144</v>
      </c>
      <c r="E66" s="24">
        <f>Backend!M61/FirstOrderEffectsComponents!H12</f>
        <v>1.1311185730000002</v>
      </c>
    </row>
  </sheetData>
  <mergeCells count="8">
    <mergeCell ref="B58:D58"/>
    <mergeCell ref="B46:D46"/>
    <mergeCell ref="B6:C6"/>
    <mergeCell ref="B15:D15"/>
    <mergeCell ref="B39:D39"/>
    <mergeCell ref="B21:D21"/>
    <mergeCell ref="B26:D26"/>
    <mergeCell ref="B31:D31"/>
  </mergeCells>
  <conditionalFormatting sqref="D42:D45">
    <cfRule type="expression" dxfId="0" priority="1" stopIfTrue="1">
      <formula>D42=""</formula>
    </cfRule>
  </conditionalFormatting>
  <hyperlinks>
    <hyperlink ref="B6" r:id="rId1" display="https://ourworldindata.org/grapher/carbon-intensity-electricity?tab=table&amp;country=~GRC&amp;mapSelect=~GRC" xr:uid="{DEECE045-C570-4DC6-A3F1-1D243009E18F}"/>
    <hyperlink ref="B21" r:id="rId2" display="https://pubmed.ncbi.nlm.nih.gov/15196846/  " xr:uid="{48606008-AE2E-44BC-9046-2DE1514535B4}"/>
    <hyperlink ref="B15" r:id="rId3" display="https://www.semanticscholar.org/paper/LCI-data-for-the-calculation-tool-Feedprint-for-gas-Marinussen-Kernebeek/367774ab3c17da2e86319aed0c934cd3a33f8117/_x000a_" xr:uid="{769A739F-9AAA-4CFC-851B-78ACF8DEAFE3}"/>
    <hyperlink ref="B58" r:id="rId4" xr:uid="{29070488-12CC-4DA2-8A3B-CBDD2BBD6CE4}"/>
    <hyperlink ref="B26" r:id="rId5" display="https://view.officeapps.live.com/op/view.aspx?src=https%3A%2F%2Fassets.publishing.service.gov.uk%2Fmedia%2F6722567487df31a87d8c497e%2Fghg-conversion-factors-2024-full_set__for_advanced_users__v1_1.xlsx&amp;wdOrigin=BROWSELINK" xr:uid="{85055759-ACB6-483B-AB5D-FAF29AC1F478}"/>
    <hyperlink ref="B31" r:id="rId6" display="https://view.officeapps.live.com/op/view.aspx?src=https%3A%2F%2Fassets.publishing.service.gov.uk%2Fmedia%2F6722567487df31a87d8c497e%2Fghg-conversion-factors-2024-full_set__for_advanced_users__v1_1.xlsx&amp;wdOrigin=BROWSELINK" xr:uid="{20F3700B-E0C5-4F8E-95FD-0103B6118EAB}"/>
    <hyperlink ref="B39" r:id="rId7" display="https://view.officeapps.live.com/op/view.aspx?src=https%3A%2F%2Fassets.publishing.service.gov.uk%2Fmedia%2F6722567487df31a87d8c497e%2Fghg-conversion-factors-2024-full_set__for_advanced_users__v1_1.xlsx&amp;wdOrigin=BROWSELINK" xr:uid="{73874A5B-E2C2-4B48-B064-9628A2C27326}"/>
    <hyperlink ref="B46" r:id="rId8" display="https://view.officeapps.live.com/op/view.aspx?src=https%3A%2F%2Fassets.publishing.service.gov.uk%2Fmedia%2F6722567487df31a87d8c497e%2Fghg-conversion-factors-2024-full_set__for_advanced_users__v1_1.xlsx&amp;wdOrigin=BROWSELINK" xr:uid="{C18D3BBE-EB5F-4404-9615-289AE26C1F76}"/>
  </hyperlinks>
  <pageMargins left="0.7" right="0.7" top="0.75" bottom="0.75" header="0.3" footer="0.3"/>
  <pageSetup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C7F5C-3BD1-48C0-A36B-D5FB290BC54E}">
  <dimension ref="A2:L98"/>
  <sheetViews>
    <sheetView showGridLines="0" topLeftCell="B1" workbookViewId="0">
      <selection activeCell="B1" sqref="B1"/>
    </sheetView>
  </sheetViews>
  <sheetFormatPr defaultRowHeight="19.5"/>
  <cols>
    <col min="1" max="2" width="8.625" style="3"/>
    <col min="3" max="3" width="21.625" style="3" customWidth="1"/>
    <col min="4" max="4" width="45.75" style="3" customWidth="1"/>
    <col min="5" max="5" width="25.125" style="3" customWidth="1"/>
    <col min="6" max="6" width="22.875" style="3" bestFit="1" customWidth="1"/>
    <col min="7" max="7" width="29.5" style="3" customWidth="1"/>
    <col min="8" max="8" width="27.625" style="3" customWidth="1"/>
    <col min="9" max="9" width="9.875" style="3" customWidth="1"/>
    <col min="10" max="10" width="37.625" style="3" customWidth="1"/>
  </cols>
  <sheetData>
    <row r="2" spans="1:10" s="57" customFormat="1" ht="15.75" customHeight="1">
      <c r="A2" s="3"/>
      <c r="B2" s="3"/>
      <c r="C2" s="3"/>
      <c r="D2" s="251" t="s">
        <v>111</v>
      </c>
      <c r="E2" s="251"/>
      <c r="F2" s="251"/>
      <c r="G2" s="120"/>
      <c r="H2" s="120"/>
      <c r="I2" s="120"/>
      <c r="J2" s="3"/>
    </row>
    <row r="3" spans="1:10" s="57" customFormat="1" ht="18" customHeight="1">
      <c r="A3" s="3"/>
      <c r="B3" s="3"/>
      <c r="C3" s="3"/>
      <c r="D3" s="252" t="s">
        <v>405</v>
      </c>
      <c r="E3" s="252"/>
      <c r="F3" s="252"/>
      <c r="G3" s="252"/>
      <c r="H3" s="252"/>
      <c r="I3" s="252"/>
      <c r="J3" s="3"/>
    </row>
    <row r="4" spans="1:10" s="57" customFormat="1" ht="47.25" customHeight="1">
      <c r="A4" s="3"/>
      <c r="B4" s="3"/>
      <c r="C4" s="3"/>
      <c r="D4" s="141" t="s">
        <v>406</v>
      </c>
      <c r="E4" s="253" t="s">
        <v>611</v>
      </c>
      <c r="F4" s="253"/>
      <c r="G4" s="253"/>
      <c r="H4" s="253"/>
      <c r="I4" s="253"/>
      <c r="J4" s="3"/>
    </row>
    <row r="5" spans="1:10" s="57" customFormat="1">
      <c r="A5" s="3"/>
      <c r="B5" s="3"/>
      <c r="C5" s="3"/>
      <c r="D5" s="142"/>
      <c r="E5" s="120"/>
      <c r="F5" s="120"/>
      <c r="G5" s="143"/>
      <c r="H5" s="143"/>
      <c r="I5" s="120"/>
      <c r="J5" s="3"/>
    </row>
    <row r="6" spans="1:10" s="57" customFormat="1">
      <c r="A6" s="3"/>
      <c r="B6" s="3"/>
      <c r="C6" s="3"/>
      <c r="D6" s="112" t="s">
        <v>407</v>
      </c>
      <c r="E6" s="108" t="s">
        <v>65</v>
      </c>
      <c r="F6" s="108" t="s">
        <v>58</v>
      </c>
      <c r="G6" s="108" t="s">
        <v>408</v>
      </c>
      <c r="H6" s="108" t="s">
        <v>409</v>
      </c>
      <c r="I6" s="108" t="s">
        <v>410</v>
      </c>
      <c r="J6" s="3" t="s">
        <v>411</v>
      </c>
    </row>
    <row r="7" spans="1:10" s="57" customFormat="1">
      <c r="A7" s="3"/>
      <c r="B7" s="3"/>
      <c r="C7" s="254" t="s">
        <v>412</v>
      </c>
      <c r="D7" s="80" t="s">
        <v>413</v>
      </c>
      <c r="E7" s="113" t="s">
        <v>414</v>
      </c>
      <c r="F7" s="113" t="s">
        <v>415</v>
      </c>
      <c r="G7" s="113" t="s">
        <v>416</v>
      </c>
      <c r="H7" s="113"/>
      <c r="I7" s="114"/>
      <c r="J7" s="3"/>
    </row>
    <row r="8" spans="1:10" s="57" customFormat="1">
      <c r="A8" s="3"/>
      <c r="B8" s="3"/>
      <c r="C8" s="255"/>
      <c r="D8" s="80" t="s">
        <v>417</v>
      </c>
      <c r="E8" s="113" t="s">
        <v>418</v>
      </c>
      <c r="F8" s="114"/>
      <c r="G8" s="114"/>
      <c r="H8" s="114"/>
      <c r="I8" s="114"/>
      <c r="J8" s="3"/>
    </row>
    <row r="9" spans="1:10" s="57" customFormat="1">
      <c r="A9" s="3"/>
      <c r="B9" s="3"/>
      <c r="C9" s="255"/>
      <c r="D9" s="80" t="s">
        <v>26</v>
      </c>
      <c r="E9" s="113" t="s">
        <v>419</v>
      </c>
      <c r="F9" s="114"/>
      <c r="G9" s="114"/>
      <c r="H9" s="114"/>
      <c r="I9" s="113"/>
      <c r="J9" s="3"/>
    </row>
    <row r="10" spans="1:10" s="57" customFormat="1">
      <c r="A10" s="3"/>
      <c r="B10" s="3"/>
      <c r="C10" s="255"/>
      <c r="D10" s="80" t="s">
        <v>420</v>
      </c>
      <c r="E10" s="113">
        <v>3.6</v>
      </c>
      <c r="F10" s="115" t="s">
        <v>421</v>
      </c>
      <c r="G10" s="9" t="s">
        <v>416</v>
      </c>
      <c r="H10" s="9"/>
      <c r="I10" s="114"/>
      <c r="J10" s="3"/>
    </row>
    <row r="11" spans="1:10" s="57" customFormat="1">
      <c r="A11" s="3"/>
      <c r="B11" s="3"/>
      <c r="C11" s="256"/>
      <c r="D11" s="80" t="s">
        <v>422</v>
      </c>
      <c r="E11" s="114"/>
      <c r="F11" s="116"/>
      <c r="G11" s="116"/>
      <c r="H11" s="116"/>
      <c r="I11" s="114"/>
      <c r="J11" s="3"/>
    </row>
    <row r="12" spans="1:10" s="57" customFormat="1">
      <c r="A12" s="3"/>
      <c r="B12" s="3"/>
      <c r="C12" s="3"/>
      <c r="D12" s="3"/>
      <c r="E12" s="3"/>
      <c r="F12" s="3"/>
      <c r="G12" s="3"/>
      <c r="H12" s="3"/>
      <c r="I12" s="3"/>
      <c r="J12" s="3"/>
    </row>
    <row r="13" spans="1:10" s="57" customFormat="1" ht="29.1" customHeight="1">
      <c r="A13" s="3"/>
      <c r="B13" s="3"/>
      <c r="C13" s="254" t="s">
        <v>612</v>
      </c>
      <c r="D13" s="117" t="s">
        <v>249</v>
      </c>
      <c r="E13" s="9">
        <v>2</v>
      </c>
      <c r="F13" s="9" t="s">
        <v>423</v>
      </c>
      <c r="G13" s="9" t="s">
        <v>416</v>
      </c>
      <c r="H13" s="9">
        <v>550.1</v>
      </c>
      <c r="I13" s="9"/>
      <c r="J13" s="3"/>
    </row>
    <row r="14" spans="1:10" s="57" customFormat="1">
      <c r="A14" s="3"/>
      <c r="B14" s="3"/>
      <c r="C14" s="255"/>
      <c r="D14" s="117" t="s">
        <v>250</v>
      </c>
      <c r="E14" s="113">
        <f>0.2*5.3</f>
        <v>1.06</v>
      </c>
      <c r="F14" s="113" t="s">
        <v>424</v>
      </c>
      <c r="G14" s="9" t="s">
        <v>416</v>
      </c>
      <c r="H14" s="9">
        <v>2</v>
      </c>
      <c r="I14" s="114"/>
      <c r="J14" s="3"/>
    </row>
    <row r="15" spans="1:10" s="57" customFormat="1">
      <c r="A15" s="3"/>
      <c r="B15" s="3"/>
      <c r="C15" s="255"/>
      <c r="D15" s="117" t="s">
        <v>250</v>
      </c>
      <c r="E15" s="113">
        <f>0.2*5.3</f>
        <v>1.06</v>
      </c>
      <c r="F15" s="113" t="s">
        <v>424</v>
      </c>
      <c r="G15" s="9" t="s">
        <v>416</v>
      </c>
      <c r="H15" s="9">
        <v>2</v>
      </c>
      <c r="I15" s="114"/>
      <c r="J15" s="3"/>
    </row>
    <row r="16" spans="1:10" s="57" customFormat="1">
      <c r="A16" s="3"/>
      <c r="B16" s="3"/>
      <c r="C16" s="255"/>
      <c r="D16" s="117" t="s">
        <v>251</v>
      </c>
      <c r="E16" s="9">
        <v>1</v>
      </c>
      <c r="F16" s="9" t="s">
        <v>423</v>
      </c>
      <c r="G16" s="9" t="s">
        <v>416</v>
      </c>
      <c r="H16" s="9">
        <v>275.47000000000003</v>
      </c>
      <c r="I16" s="9"/>
      <c r="J16" s="3"/>
    </row>
    <row r="17" spans="1:10" s="57" customFormat="1">
      <c r="A17" s="3"/>
      <c r="B17" s="3"/>
      <c r="C17" s="255"/>
      <c r="D17" s="117" t="s">
        <v>250</v>
      </c>
      <c r="E17" s="113">
        <f>0.2*5.3</f>
        <v>1.06</v>
      </c>
      <c r="F17" s="113" t="s">
        <v>424</v>
      </c>
      <c r="G17" s="9" t="s">
        <v>416</v>
      </c>
      <c r="H17" s="9">
        <v>2</v>
      </c>
      <c r="I17" s="9"/>
      <c r="J17" s="3"/>
    </row>
    <row r="18" spans="1:10" s="57" customFormat="1">
      <c r="A18" s="3"/>
      <c r="B18" s="3"/>
      <c r="C18" s="255"/>
      <c r="D18" s="117" t="s">
        <v>90</v>
      </c>
      <c r="E18" s="113">
        <v>292</v>
      </c>
      <c r="F18" s="113" t="s">
        <v>424</v>
      </c>
      <c r="G18" s="9" t="s">
        <v>416</v>
      </c>
      <c r="H18" s="9">
        <v>550.94000000000005</v>
      </c>
      <c r="I18" s="9"/>
      <c r="J18" s="3"/>
    </row>
    <row r="19" spans="1:10" s="57" customFormat="1">
      <c r="A19" s="3"/>
      <c r="B19" s="3"/>
      <c r="C19" s="256"/>
      <c r="D19" s="117" t="s">
        <v>92</v>
      </c>
      <c r="E19" s="113">
        <v>1050</v>
      </c>
      <c r="F19" s="113" t="s">
        <v>424</v>
      </c>
      <c r="G19" s="9" t="s">
        <v>416</v>
      </c>
      <c r="H19" s="9">
        <v>1981</v>
      </c>
      <c r="I19" s="9"/>
      <c r="J19" s="3"/>
    </row>
    <row r="20" spans="1:10" s="57" customFormat="1">
      <c r="A20" s="3"/>
      <c r="B20" s="3"/>
      <c r="C20" s="3"/>
      <c r="D20" s="3"/>
      <c r="E20" s="3"/>
      <c r="F20" s="3"/>
      <c r="G20" s="3"/>
      <c r="H20" s="3"/>
      <c r="I20" s="3"/>
      <c r="J20" s="3"/>
    </row>
    <row r="21" spans="1:10" s="57" customFormat="1" ht="29.1" customHeight="1">
      <c r="A21" s="3"/>
      <c r="B21" s="3"/>
      <c r="C21" s="257" t="s">
        <v>425</v>
      </c>
      <c r="D21" s="112" t="s">
        <v>426</v>
      </c>
      <c r="E21" s="9">
        <v>0.79500000000000004</v>
      </c>
      <c r="F21" s="9" t="s">
        <v>424</v>
      </c>
      <c r="G21" s="9" t="s">
        <v>416</v>
      </c>
      <c r="H21" s="9">
        <v>1.5</v>
      </c>
      <c r="I21" s="9"/>
      <c r="J21" s="3"/>
    </row>
    <row r="22" spans="1:10" s="57" customFormat="1" ht="39">
      <c r="A22" s="3"/>
      <c r="B22" s="3"/>
      <c r="C22" s="258"/>
      <c r="D22" s="112" t="s">
        <v>427</v>
      </c>
      <c r="E22" s="9">
        <v>0.13250000000000001</v>
      </c>
      <c r="F22" s="9" t="s">
        <v>424</v>
      </c>
      <c r="G22" s="9" t="s">
        <v>416</v>
      </c>
      <c r="H22" s="9">
        <v>0.25</v>
      </c>
      <c r="I22" s="9"/>
      <c r="J22" s="3"/>
    </row>
    <row r="23" spans="1:10" s="57" customFormat="1" ht="39">
      <c r="A23" s="3"/>
      <c r="B23" s="3"/>
      <c r="C23" s="258"/>
      <c r="D23" s="112" t="s">
        <v>428</v>
      </c>
      <c r="E23" s="9">
        <v>1.06</v>
      </c>
      <c r="F23" s="9" t="s">
        <v>424</v>
      </c>
      <c r="G23" s="9" t="s">
        <v>416</v>
      </c>
      <c r="H23" s="9">
        <v>2</v>
      </c>
      <c r="I23" s="9"/>
      <c r="J23" s="3"/>
    </row>
    <row r="24" spans="1:10" s="57" customFormat="1" ht="39">
      <c r="A24" s="3"/>
      <c r="B24" s="3"/>
      <c r="C24" s="258"/>
      <c r="D24" s="112" t="s">
        <v>429</v>
      </c>
      <c r="E24" s="9">
        <v>0.53</v>
      </c>
      <c r="F24" s="9" t="s">
        <v>430</v>
      </c>
      <c r="G24" s="9" t="s">
        <v>416</v>
      </c>
      <c r="H24" s="9">
        <v>1</v>
      </c>
      <c r="I24" s="9"/>
      <c r="J24" s="3"/>
    </row>
    <row r="25" spans="1:10" s="57" customFormat="1" ht="39">
      <c r="A25" s="3"/>
      <c r="B25" s="3"/>
      <c r="C25" s="259"/>
      <c r="D25" s="112" t="s">
        <v>429</v>
      </c>
      <c r="E25" s="9">
        <v>0.53</v>
      </c>
      <c r="F25" s="9" t="s">
        <v>430</v>
      </c>
      <c r="G25" s="9" t="s">
        <v>416</v>
      </c>
      <c r="H25" s="9">
        <v>1</v>
      </c>
      <c r="I25" s="114"/>
      <c r="J25" s="3"/>
    </row>
    <row r="26" spans="1:10" s="57" customFormat="1">
      <c r="A26" s="3"/>
      <c r="B26" s="3"/>
      <c r="C26" s="3"/>
      <c r="D26" s="3"/>
      <c r="E26" s="3"/>
      <c r="F26" s="3"/>
      <c r="G26" s="3"/>
      <c r="H26" s="3"/>
      <c r="I26" s="3"/>
      <c r="J26" s="118" t="s">
        <v>431</v>
      </c>
    </row>
    <row r="27" spans="1:10" s="57" customFormat="1" ht="16.350000000000001" customHeight="1">
      <c r="A27" s="3"/>
      <c r="B27" s="3"/>
      <c r="C27" s="254" t="s">
        <v>432</v>
      </c>
      <c r="D27" s="112" t="s">
        <v>433</v>
      </c>
      <c r="E27" s="119">
        <v>153.30250000000001</v>
      </c>
      <c r="F27" s="9" t="s">
        <v>434</v>
      </c>
      <c r="G27" s="113" t="s">
        <v>416</v>
      </c>
      <c r="H27" s="113">
        <v>289.25</v>
      </c>
      <c r="I27" s="9" t="s">
        <v>435</v>
      </c>
      <c r="J27" s="23">
        <f>215</f>
        <v>215</v>
      </c>
    </row>
    <row r="28" spans="1:10" s="57" customFormat="1" ht="20.25">
      <c r="A28" s="3"/>
      <c r="B28" s="3"/>
      <c r="C28" s="255"/>
      <c r="D28" s="112" t="s">
        <v>433</v>
      </c>
      <c r="E28" s="119">
        <v>143.70950000000002</v>
      </c>
      <c r="F28" s="9" t="s">
        <v>434</v>
      </c>
      <c r="G28" s="113" t="s">
        <v>416</v>
      </c>
      <c r="H28" s="113">
        <v>271.14999999999998</v>
      </c>
      <c r="I28" s="9" t="s">
        <v>436</v>
      </c>
      <c r="J28" s="23">
        <v>201</v>
      </c>
    </row>
    <row r="29" spans="1:10" s="57" customFormat="1" ht="20.25">
      <c r="A29" s="3"/>
      <c r="B29" s="3"/>
      <c r="C29" s="255"/>
      <c r="D29" s="112" t="s">
        <v>433</v>
      </c>
      <c r="E29" s="119">
        <v>104.75449999999999</v>
      </c>
      <c r="F29" s="9" t="s">
        <v>434</v>
      </c>
      <c r="G29" s="113" t="s">
        <v>416</v>
      </c>
      <c r="H29" s="113">
        <v>197.65</v>
      </c>
      <c r="I29" s="9" t="s">
        <v>437</v>
      </c>
      <c r="J29" s="23">
        <v>147</v>
      </c>
    </row>
    <row r="30" spans="1:10" s="57" customFormat="1" ht="20.25">
      <c r="A30" s="3"/>
      <c r="B30" s="3"/>
      <c r="C30" s="255"/>
      <c r="D30" s="112" t="s">
        <v>433</v>
      </c>
      <c r="E30" s="119">
        <v>134.1165</v>
      </c>
      <c r="F30" s="9" t="s">
        <v>434</v>
      </c>
      <c r="G30" s="113" t="s">
        <v>416</v>
      </c>
      <c r="H30" s="113">
        <v>253.05</v>
      </c>
      <c r="I30" s="9" t="s">
        <v>438</v>
      </c>
      <c r="J30" s="23">
        <v>188</v>
      </c>
    </row>
    <row r="31" spans="1:10" s="57" customFormat="1" ht="20.25">
      <c r="A31" s="3"/>
      <c r="B31" s="3"/>
      <c r="C31" s="255"/>
      <c r="D31" s="112" t="s">
        <v>433</v>
      </c>
      <c r="E31" s="119">
        <v>146.4</v>
      </c>
      <c r="F31" s="9" t="s">
        <v>434</v>
      </c>
      <c r="G31" s="113" t="s">
        <v>416</v>
      </c>
      <c r="H31" s="113">
        <v>276.23099999999999</v>
      </c>
      <c r="I31" s="9" t="s">
        <v>439</v>
      </c>
      <c r="J31" s="23">
        <v>205</v>
      </c>
    </row>
    <row r="32" spans="1:10" s="57" customFormat="1" ht="20.25">
      <c r="A32" s="3"/>
      <c r="B32" s="3"/>
      <c r="C32" s="255"/>
      <c r="D32" s="112" t="s">
        <v>433</v>
      </c>
      <c r="E32" s="119">
        <v>143.70950000000002</v>
      </c>
      <c r="F32" s="9" t="s">
        <v>434</v>
      </c>
      <c r="G32" s="113" t="s">
        <v>416</v>
      </c>
      <c r="H32" s="113">
        <v>271.14999999999998</v>
      </c>
      <c r="I32" s="9" t="s">
        <v>436</v>
      </c>
      <c r="J32" s="23">
        <v>201</v>
      </c>
    </row>
    <row r="33" spans="1:12" s="57" customFormat="1" ht="20.25">
      <c r="A33" s="3"/>
      <c r="B33" s="3"/>
      <c r="C33" s="255"/>
      <c r="D33" s="112" t="s">
        <v>433</v>
      </c>
      <c r="E33" s="119">
        <v>71.841499999999996</v>
      </c>
      <c r="F33" s="9" t="s">
        <v>434</v>
      </c>
      <c r="G33" s="113" t="s">
        <v>416</v>
      </c>
      <c r="H33" s="113">
        <v>135.55000000000001</v>
      </c>
      <c r="I33" s="9" t="s">
        <v>440</v>
      </c>
      <c r="J33" s="23">
        <v>101</v>
      </c>
    </row>
    <row r="34" spans="1:12" s="57" customFormat="1" ht="20.25">
      <c r="A34" s="3"/>
      <c r="B34" s="3"/>
      <c r="C34" s="256"/>
      <c r="D34" s="112" t="s">
        <v>433</v>
      </c>
      <c r="E34" s="119">
        <v>76.637999999999991</v>
      </c>
      <c r="F34" s="9" t="s">
        <v>434</v>
      </c>
      <c r="G34" s="113" t="s">
        <v>416</v>
      </c>
      <c r="H34" s="113">
        <v>144.6</v>
      </c>
      <c r="I34" s="9" t="s">
        <v>441</v>
      </c>
      <c r="J34" s="23">
        <v>107</v>
      </c>
    </row>
    <row r="35" spans="1:12" s="57" customFormat="1">
      <c r="A35" s="3"/>
      <c r="B35" s="3"/>
      <c r="C35" s="3"/>
      <c r="D35" s="46"/>
      <c r="E35" s="46"/>
      <c r="F35" s="46"/>
      <c r="G35" s="46"/>
      <c r="H35" s="46"/>
      <c r="I35" s="46"/>
      <c r="J35" s="3"/>
    </row>
    <row r="36" spans="1:12" s="57" customFormat="1" ht="14.45" customHeight="1">
      <c r="A36" s="3"/>
      <c r="B36" s="3"/>
      <c r="C36" s="254" t="s">
        <v>442</v>
      </c>
      <c r="D36" s="112" t="s">
        <v>443</v>
      </c>
      <c r="E36" s="9">
        <v>5</v>
      </c>
      <c r="F36" s="9" t="s">
        <v>444</v>
      </c>
      <c r="G36" s="9" t="s">
        <v>416</v>
      </c>
      <c r="H36" s="10">
        <v>9.4339622641509422</v>
      </c>
      <c r="I36" s="9" t="s">
        <v>382</v>
      </c>
      <c r="J36" s="3"/>
      <c r="L36" s="58"/>
    </row>
    <row r="37" spans="1:12" s="57" customFormat="1">
      <c r="A37" s="3"/>
      <c r="B37" s="3"/>
      <c r="C37" s="255"/>
      <c r="D37" s="80" t="s">
        <v>445</v>
      </c>
      <c r="E37" s="9">
        <v>15</v>
      </c>
      <c r="F37" s="9" t="s">
        <v>444</v>
      </c>
      <c r="G37" s="9" t="s">
        <v>416</v>
      </c>
      <c r="H37" s="10">
        <v>28.30188679245283</v>
      </c>
      <c r="I37" s="9" t="s">
        <v>382</v>
      </c>
      <c r="J37" s="3"/>
      <c r="L37" s="58"/>
    </row>
    <row r="38" spans="1:12" s="57" customFormat="1">
      <c r="A38" s="3"/>
      <c r="B38" s="3"/>
      <c r="C38" s="255"/>
      <c r="D38" s="112" t="s">
        <v>446</v>
      </c>
      <c r="E38" s="9">
        <v>8</v>
      </c>
      <c r="F38" s="9" t="s">
        <v>444</v>
      </c>
      <c r="G38" s="9" t="s">
        <v>416</v>
      </c>
      <c r="H38" s="10">
        <v>15.094339622641508</v>
      </c>
      <c r="I38" s="9" t="s">
        <v>382</v>
      </c>
      <c r="J38" s="3"/>
      <c r="L38" s="58"/>
    </row>
    <row r="39" spans="1:12" s="57" customFormat="1">
      <c r="A39" s="3"/>
      <c r="B39" s="3"/>
      <c r="C39" s="255"/>
      <c r="D39" s="112" t="s">
        <v>447</v>
      </c>
      <c r="E39" s="9">
        <v>60</v>
      </c>
      <c r="F39" s="9" t="s">
        <v>444</v>
      </c>
      <c r="G39" s="9" t="s">
        <v>416</v>
      </c>
      <c r="H39" s="10">
        <v>113.20754716981132</v>
      </c>
      <c r="I39" s="9" t="s">
        <v>448</v>
      </c>
      <c r="J39" s="3"/>
      <c r="L39" s="58"/>
    </row>
    <row r="40" spans="1:12" s="57" customFormat="1">
      <c r="A40" s="3"/>
      <c r="B40" s="3"/>
      <c r="C40" s="255"/>
      <c r="D40" s="112" t="s">
        <v>605</v>
      </c>
      <c r="E40" s="9">
        <v>5.55</v>
      </c>
      <c r="F40" s="9" t="s">
        <v>444</v>
      </c>
      <c r="G40" s="9" t="s">
        <v>416</v>
      </c>
      <c r="H40" s="10">
        <v>10.471698113207546</v>
      </c>
      <c r="I40" s="9" t="s">
        <v>382</v>
      </c>
      <c r="J40" s="3"/>
      <c r="L40" s="58"/>
    </row>
    <row r="41" spans="1:12" s="57" customFormat="1">
      <c r="A41" s="3"/>
      <c r="B41" s="3"/>
      <c r="C41" s="255"/>
      <c r="D41" s="112" t="s">
        <v>449</v>
      </c>
      <c r="E41" s="9">
        <v>5.55</v>
      </c>
      <c r="F41" s="9" t="s">
        <v>444</v>
      </c>
      <c r="G41" s="9" t="s">
        <v>416</v>
      </c>
      <c r="H41" s="10">
        <v>10.471698113207546</v>
      </c>
      <c r="I41" s="9" t="s">
        <v>382</v>
      </c>
      <c r="J41" s="3"/>
      <c r="L41" s="58"/>
    </row>
    <row r="42" spans="1:12" s="57" customFormat="1">
      <c r="A42" s="3"/>
      <c r="B42" s="3"/>
      <c r="C42" s="255"/>
      <c r="D42" s="112" t="s">
        <v>450</v>
      </c>
      <c r="E42" s="9">
        <v>5</v>
      </c>
      <c r="F42" s="9" t="s">
        <v>444</v>
      </c>
      <c r="G42" s="9" t="s">
        <v>416</v>
      </c>
      <c r="H42" s="10">
        <v>9.4339622641509422</v>
      </c>
      <c r="I42" s="9" t="s">
        <v>382</v>
      </c>
      <c r="J42" s="3"/>
      <c r="L42" s="58"/>
    </row>
    <row r="43" spans="1:12" s="57" customFormat="1">
      <c r="A43" s="3"/>
      <c r="B43" s="3"/>
      <c r="C43" s="255"/>
      <c r="D43" s="112" t="s">
        <v>451</v>
      </c>
      <c r="E43" s="9">
        <v>5</v>
      </c>
      <c r="F43" s="9" t="s">
        <v>444</v>
      </c>
      <c r="G43" s="9" t="s">
        <v>416</v>
      </c>
      <c r="H43" s="10">
        <v>9.4339622641509422</v>
      </c>
      <c r="I43" s="9" t="s">
        <v>382</v>
      </c>
      <c r="J43" s="3"/>
      <c r="L43" s="58"/>
    </row>
    <row r="44" spans="1:12" s="57" customFormat="1">
      <c r="A44" s="3"/>
      <c r="B44" s="3"/>
      <c r="C44" s="256"/>
      <c r="D44" s="112" t="s">
        <v>452</v>
      </c>
      <c r="E44" s="9">
        <v>25</v>
      </c>
      <c r="F44" s="9" t="s">
        <v>444</v>
      </c>
      <c r="G44" s="9" t="s">
        <v>416</v>
      </c>
      <c r="H44" s="10">
        <v>47.17</v>
      </c>
      <c r="I44" s="9" t="s">
        <v>448</v>
      </c>
      <c r="J44" s="3"/>
      <c r="L44" s="58"/>
    </row>
    <row r="45" spans="1:12" s="57" customFormat="1">
      <c r="A45" s="3"/>
      <c r="B45" s="3"/>
      <c r="C45" s="3"/>
      <c r="D45" s="3"/>
      <c r="E45" s="3"/>
      <c r="F45" s="3"/>
      <c r="G45" s="3"/>
      <c r="H45" s="3"/>
      <c r="I45" s="3"/>
      <c r="J45" s="3"/>
    </row>
    <row r="46" spans="1:12" s="57" customFormat="1">
      <c r="A46" s="3"/>
      <c r="B46" s="3"/>
      <c r="C46" s="113"/>
      <c r="D46" s="112" t="s">
        <v>453</v>
      </c>
      <c r="E46" s="113">
        <v>23</v>
      </c>
      <c r="F46" s="113" t="s">
        <v>454</v>
      </c>
      <c r="G46" s="9" t="s">
        <v>416</v>
      </c>
      <c r="H46" s="114"/>
      <c r="I46" s="9" t="s">
        <v>455</v>
      </c>
      <c r="J46" s="3"/>
    </row>
    <row r="51" spans="3:10">
      <c r="D51" s="45" t="s">
        <v>456</v>
      </c>
      <c r="E51" s="120"/>
      <c r="F51" s="121"/>
      <c r="G51" s="121"/>
      <c r="H51" s="121"/>
      <c r="I51" s="120"/>
    </row>
    <row r="52" spans="3:10">
      <c r="D52" s="2"/>
      <c r="E52" s="108" t="s">
        <v>65</v>
      </c>
      <c r="F52" s="108" t="s">
        <v>58</v>
      </c>
      <c r="G52" s="108" t="s">
        <v>408</v>
      </c>
      <c r="H52" s="122" t="s">
        <v>410</v>
      </c>
      <c r="I52" s="123" t="s">
        <v>457</v>
      </c>
      <c r="J52" s="123" t="s">
        <v>458</v>
      </c>
    </row>
    <row r="53" spans="3:10" ht="30.6" customHeight="1">
      <c r="C53" s="254" t="s">
        <v>613</v>
      </c>
      <c r="D53" s="14" t="s">
        <v>459</v>
      </c>
      <c r="E53" s="144">
        <v>550.1</v>
      </c>
      <c r="F53" s="125" t="s">
        <v>460</v>
      </c>
      <c r="G53" s="126" t="s">
        <v>416</v>
      </c>
      <c r="H53" s="126" t="s">
        <v>461</v>
      </c>
      <c r="I53" s="145"/>
      <c r="J53" s="145"/>
    </row>
    <row r="54" spans="3:10" ht="29.1" customHeight="1">
      <c r="C54" s="255"/>
      <c r="D54" s="14" t="s">
        <v>614</v>
      </c>
      <c r="E54" s="146">
        <v>2.0428571428571431E-3</v>
      </c>
      <c r="F54" s="125" t="s">
        <v>462</v>
      </c>
      <c r="G54" s="128" t="s">
        <v>463</v>
      </c>
      <c r="H54" s="126" t="s">
        <v>464</v>
      </c>
      <c r="I54" s="129" t="s">
        <v>465</v>
      </c>
      <c r="J54" s="127">
        <f>37.18*0.01*44/28/286</f>
        <v>2.0428571428571431E-3</v>
      </c>
    </row>
    <row r="55" spans="3:10" ht="40.35" customHeight="1">
      <c r="C55" s="255"/>
      <c r="D55" s="117" t="s">
        <v>466</v>
      </c>
      <c r="E55" s="124">
        <v>0</v>
      </c>
      <c r="F55" s="125" t="s">
        <v>467</v>
      </c>
      <c r="G55" s="128" t="s">
        <v>468</v>
      </c>
      <c r="H55" s="126" t="s">
        <v>469</v>
      </c>
      <c r="I55" s="129" t="s">
        <v>470</v>
      </c>
      <c r="J55" s="127"/>
    </row>
    <row r="56" spans="3:10" ht="48.6" customHeight="1">
      <c r="C56" s="256"/>
      <c r="D56" s="14" t="s">
        <v>606</v>
      </c>
      <c r="E56" s="124">
        <v>1.0601099999999999</v>
      </c>
      <c r="F56" s="125" t="s">
        <v>471</v>
      </c>
      <c r="G56" s="130" t="s">
        <v>472</v>
      </c>
      <c r="H56" s="126" t="s">
        <v>473</v>
      </c>
      <c r="I56" s="129" t="s">
        <v>474</v>
      </c>
      <c r="J56" s="127">
        <f>336.8794*0.9/286</f>
        <v>1.0601100000000001</v>
      </c>
    </row>
    <row r="57" spans="3:10" ht="23.1" customHeight="1">
      <c r="D57" s="132"/>
      <c r="E57" s="133"/>
      <c r="F57" s="133"/>
      <c r="G57" s="133"/>
      <c r="H57" s="133"/>
    </row>
    <row r="58" spans="3:10" ht="23.1" customHeight="1">
      <c r="C58" s="254" t="s">
        <v>608</v>
      </c>
      <c r="D58" s="14" t="s">
        <v>475</v>
      </c>
      <c r="E58" s="124">
        <v>6</v>
      </c>
      <c r="F58" s="125" t="s">
        <v>460</v>
      </c>
      <c r="G58" s="126" t="s">
        <v>416</v>
      </c>
      <c r="H58" s="126" t="s">
        <v>476</v>
      </c>
      <c r="I58" s="127"/>
      <c r="J58" s="127"/>
    </row>
    <row r="59" spans="3:10" ht="97.5">
      <c r="C59" s="255"/>
      <c r="D59" s="14" t="s">
        <v>609</v>
      </c>
      <c r="E59" s="124">
        <v>3.3300000000000001E-3</v>
      </c>
      <c r="F59" s="125" t="s">
        <v>462</v>
      </c>
      <c r="G59" s="134" t="s">
        <v>401</v>
      </c>
      <c r="H59" s="126" t="s">
        <v>477</v>
      </c>
      <c r="I59" s="129" t="s">
        <v>465</v>
      </c>
      <c r="J59" s="127">
        <f>0.212*0.01*44/28/1.06</f>
        <v>3.142857142857143E-3</v>
      </c>
    </row>
    <row r="60" spans="3:10" ht="33.6" customHeight="1">
      <c r="C60" s="255"/>
      <c r="D60" s="117" t="s">
        <v>466</v>
      </c>
      <c r="E60" s="124">
        <v>0.126</v>
      </c>
      <c r="F60" s="125" t="s">
        <v>467</v>
      </c>
      <c r="G60" s="136" t="s">
        <v>478</v>
      </c>
      <c r="H60" s="137" t="s">
        <v>479</v>
      </c>
      <c r="I60" s="129" t="s">
        <v>470</v>
      </c>
      <c r="J60" s="127">
        <f>0.2*0.088*1/0.47*3.75*0.9</f>
        <v>0.12638297872340426</v>
      </c>
    </row>
    <row r="61" spans="3:10" ht="39.6" customHeight="1">
      <c r="C61" s="256"/>
      <c r="D61" s="117" t="s">
        <v>606</v>
      </c>
      <c r="E61" s="124">
        <v>1.1358000000000001</v>
      </c>
      <c r="F61" s="125" t="s">
        <v>471</v>
      </c>
      <c r="G61" s="135" t="s">
        <v>472</v>
      </c>
      <c r="H61" s="126" t="s">
        <v>480</v>
      </c>
      <c r="I61" s="129" t="s">
        <v>474</v>
      </c>
      <c r="J61" s="127">
        <f>1.33772*0.9/1.06</f>
        <v>1.1357999999999999</v>
      </c>
    </row>
    <row r="62" spans="3:10" ht="23.1" customHeight="1">
      <c r="D62" s="132"/>
      <c r="E62" s="133"/>
      <c r="F62" s="133"/>
      <c r="G62" s="133"/>
      <c r="H62" s="133"/>
    </row>
    <row r="63" spans="3:10" ht="23.1" customHeight="1">
      <c r="C63" s="254" t="s">
        <v>607</v>
      </c>
      <c r="D63" s="14" t="s">
        <v>481</v>
      </c>
      <c r="E63" s="147">
        <v>275.47000000000003</v>
      </c>
      <c r="F63" s="125" t="s">
        <v>460</v>
      </c>
      <c r="G63" s="126" t="s">
        <v>416</v>
      </c>
      <c r="H63" s="126" t="s">
        <v>482</v>
      </c>
      <c r="I63" s="127"/>
      <c r="J63" s="127"/>
    </row>
    <row r="64" spans="3:10" ht="29.1" customHeight="1">
      <c r="C64" s="255"/>
      <c r="D64" s="14" t="s">
        <v>610</v>
      </c>
      <c r="E64" s="124">
        <v>3.2999999999999995E-3</v>
      </c>
      <c r="F64" s="125" t="s">
        <v>462</v>
      </c>
      <c r="G64" s="128" t="s">
        <v>401</v>
      </c>
      <c r="H64" s="126" t="s">
        <v>477</v>
      </c>
      <c r="I64" s="129" t="s">
        <v>465</v>
      </c>
      <c r="J64" s="127">
        <f>30.66*0.01*44/28/146</f>
        <v>3.2999999999999995E-3</v>
      </c>
    </row>
    <row r="65" spans="3:10" ht="32.1" customHeight="1">
      <c r="C65" s="255"/>
      <c r="D65" s="117" t="s">
        <v>466</v>
      </c>
      <c r="E65" s="124">
        <v>0</v>
      </c>
      <c r="F65" s="125" t="s">
        <v>467</v>
      </c>
      <c r="G65" s="130" t="s">
        <v>483</v>
      </c>
      <c r="H65" s="126" t="s">
        <v>469</v>
      </c>
      <c r="I65" s="129" t="s">
        <v>470</v>
      </c>
      <c r="J65" s="127"/>
    </row>
    <row r="66" spans="3:10" ht="117">
      <c r="C66" s="256"/>
      <c r="D66" s="117" t="s">
        <v>606</v>
      </c>
      <c r="E66" s="131">
        <v>1.0621849315068495</v>
      </c>
      <c r="F66" s="125" t="s">
        <v>471</v>
      </c>
      <c r="G66" s="130" t="s">
        <v>472</v>
      </c>
      <c r="H66" s="126" t="s">
        <v>473</v>
      </c>
      <c r="I66" s="129" t="s">
        <v>474</v>
      </c>
      <c r="J66" s="127">
        <f>172.31/146*0.9</f>
        <v>1.0621849315068495</v>
      </c>
    </row>
    <row r="67" spans="3:10" ht="32.1" customHeight="1">
      <c r="D67" s="138"/>
      <c r="E67" s="133"/>
      <c r="F67" s="133"/>
      <c r="G67" s="133"/>
      <c r="H67" s="133"/>
      <c r="I67" s="133"/>
      <c r="J67" s="133"/>
    </row>
    <row r="68" spans="3:10">
      <c r="C68" s="23"/>
      <c r="D68" s="14"/>
      <c r="E68" s="108" t="s">
        <v>65</v>
      </c>
      <c r="F68" s="108" t="s">
        <v>58</v>
      </c>
      <c r="G68" s="108" t="s">
        <v>408</v>
      </c>
      <c r="H68" s="108" t="s">
        <v>410</v>
      </c>
      <c r="I68" s="123" t="s">
        <v>457</v>
      </c>
      <c r="J68" s="108" t="s">
        <v>458</v>
      </c>
    </row>
    <row r="69" spans="3:10" ht="45" customHeight="1">
      <c r="C69" s="248" t="s">
        <v>484</v>
      </c>
      <c r="D69" s="14" t="s">
        <v>485</v>
      </c>
      <c r="E69" s="9">
        <v>1.5</v>
      </c>
      <c r="F69" s="125" t="s">
        <v>460</v>
      </c>
      <c r="G69" s="125" t="s">
        <v>486</v>
      </c>
      <c r="H69" s="125" t="s">
        <v>487</v>
      </c>
      <c r="I69" s="23"/>
      <c r="J69" s="23"/>
    </row>
    <row r="70" spans="3:10" ht="40.35" customHeight="1">
      <c r="C70" s="249"/>
      <c r="D70" s="14" t="s">
        <v>488</v>
      </c>
      <c r="E70" s="9">
        <v>0</v>
      </c>
      <c r="F70" s="125" t="s">
        <v>489</v>
      </c>
      <c r="G70" s="139" t="s">
        <v>490</v>
      </c>
      <c r="H70" s="126" t="s">
        <v>491</v>
      </c>
      <c r="I70" s="23"/>
      <c r="J70" s="23"/>
    </row>
    <row r="71" spans="3:10" ht="50.45" customHeight="1">
      <c r="C71" s="250"/>
      <c r="D71" s="14" t="s">
        <v>492</v>
      </c>
      <c r="E71" s="9">
        <v>10.73</v>
      </c>
      <c r="F71" s="125" t="s">
        <v>493</v>
      </c>
      <c r="G71" s="139" t="s">
        <v>490</v>
      </c>
      <c r="H71" s="126" t="s">
        <v>494</v>
      </c>
      <c r="I71" s="140" t="s">
        <v>495</v>
      </c>
      <c r="J71" s="9">
        <f>0.75*14.3</f>
        <v>10.725000000000001</v>
      </c>
    </row>
    <row r="72" spans="3:10">
      <c r="D72" s="26"/>
      <c r="E72" s="120"/>
      <c r="F72" s="121"/>
      <c r="G72" s="121"/>
      <c r="H72" s="121"/>
      <c r="I72" s="120"/>
      <c r="J72" s="120"/>
    </row>
    <row r="73" spans="3:10" ht="39">
      <c r="C73" s="248" t="s">
        <v>496</v>
      </c>
      <c r="D73" s="14" t="s">
        <v>497</v>
      </c>
      <c r="E73" s="9">
        <v>0.25</v>
      </c>
      <c r="F73" s="125" t="s">
        <v>460</v>
      </c>
      <c r="G73" s="125" t="s">
        <v>486</v>
      </c>
      <c r="H73" s="125" t="s">
        <v>498</v>
      </c>
      <c r="I73" s="23"/>
      <c r="J73" s="23"/>
    </row>
    <row r="74" spans="3:10" ht="78">
      <c r="C74" s="249"/>
      <c r="D74" s="14" t="s">
        <v>488</v>
      </c>
      <c r="E74" s="9">
        <v>0</v>
      </c>
      <c r="F74" s="125" t="s">
        <v>489</v>
      </c>
      <c r="G74" s="139" t="s">
        <v>490</v>
      </c>
      <c r="H74" s="126" t="s">
        <v>491</v>
      </c>
      <c r="I74" s="23"/>
      <c r="J74" s="23"/>
    </row>
    <row r="75" spans="3:10" ht="78">
      <c r="C75" s="250"/>
      <c r="D75" s="14" t="s">
        <v>492</v>
      </c>
      <c r="E75" s="9">
        <v>0.47</v>
      </c>
      <c r="F75" s="125" t="s">
        <v>493</v>
      </c>
      <c r="G75" s="139" t="s">
        <v>490</v>
      </c>
      <c r="H75" s="126" t="s">
        <v>494</v>
      </c>
      <c r="I75" s="140" t="s">
        <v>495</v>
      </c>
      <c r="J75" s="9">
        <f>0.025*18.7</f>
        <v>0.46750000000000003</v>
      </c>
    </row>
    <row r="76" spans="3:10">
      <c r="D76" s="26"/>
      <c r="E76" s="120"/>
      <c r="F76" s="121"/>
      <c r="G76" s="121"/>
      <c r="H76" s="121"/>
      <c r="I76" s="120"/>
      <c r="J76" s="120"/>
    </row>
    <row r="77" spans="3:10" ht="39">
      <c r="C77" s="248" t="s">
        <v>499</v>
      </c>
      <c r="D77" s="14" t="s">
        <v>500</v>
      </c>
      <c r="E77" s="9">
        <v>2</v>
      </c>
      <c r="F77" s="125" t="s">
        <v>460</v>
      </c>
      <c r="G77" s="125" t="s">
        <v>486</v>
      </c>
      <c r="H77" s="125" t="s">
        <v>501</v>
      </c>
      <c r="I77" s="23"/>
      <c r="J77" s="23"/>
    </row>
    <row r="78" spans="3:10" ht="78">
      <c r="C78" s="249"/>
      <c r="D78" s="14" t="s">
        <v>488</v>
      </c>
      <c r="E78" s="9">
        <v>0</v>
      </c>
      <c r="F78" s="125" t="s">
        <v>489</v>
      </c>
      <c r="G78" s="139" t="s">
        <v>490</v>
      </c>
      <c r="H78" s="126" t="s">
        <v>491</v>
      </c>
      <c r="I78" s="23"/>
      <c r="J78" s="23"/>
    </row>
    <row r="79" spans="3:10" ht="78">
      <c r="C79" s="250"/>
      <c r="D79" s="14" t="s">
        <v>492</v>
      </c>
      <c r="E79" s="9">
        <v>4.29</v>
      </c>
      <c r="F79" s="125" t="s">
        <v>493</v>
      </c>
      <c r="G79" s="139" t="s">
        <v>490</v>
      </c>
      <c r="H79" s="126" t="s">
        <v>494</v>
      </c>
      <c r="I79" s="140" t="s">
        <v>495</v>
      </c>
      <c r="J79" s="9">
        <f>0.3*14.3</f>
        <v>4.29</v>
      </c>
    </row>
    <row r="80" spans="3:10">
      <c r="D80" s="14"/>
      <c r="E80" s="120"/>
      <c r="F80" s="120"/>
      <c r="G80" s="120"/>
      <c r="H80" s="120"/>
      <c r="I80" s="120"/>
      <c r="J80" s="120"/>
    </row>
    <row r="81" spans="3:10" ht="39">
      <c r="C81" s="248" t="s">
        <v>502</v>
      </c>
      <c r="D81" s="14" t="s">
        <v>503</v>
      </c>
      <c r="E81" s="9">
        <v>2</v>
      </c>
      <c r="F81" s="125" t="s">
        <v>504</v>
      </c>
      <c r="G81" s="125" t="s">
        <v>486</v>
      </c>
      <c r="H81" s="125" t="s">
        <v>505</v>
      </c>
      <c r="I81" s="23"/>
      <c r="J81" s="23"/>
    </row>
    <row r="82" spans="3:10" ht="78">
      <c r="C82" s="249"/>
      <c r="D82" s="14" t="s">
        <v>488</v>
      </c>
      <c r="E82" s="9">
        <v>0</v>
      </c>
      <c r="F82" s="125" t="s">
        <v>489</v>
      </c>
      <c r="G82" s="139" t="s">
        <v>490</v>
      </c>
      <c r="H82" s="126" t="s">
        <v>491</v>
      </c>
      <c r="I82" s="23"/>
      <c r="J82" s="23"/>
    </row>
    <row r="83" spans="3:10" ht="78">
      <c r="C83" s="250"/>
      <c r="D83" s="14" t="s">
        <v>492</v>
      </c>
      <c r="E83" s="9">
        <v>4.4999999999999998E-2</v>
      </c>
      <c r="F83" s="125" t="s">
        <v>493</v>
      </c>
      <c r="G83" s="139" t="s">
        <v>490</v>
      </c>
      <c r="H83" s="126" t="s">
        <v>494</v>
      </c>
      <c r="I83" s="140" t="s">
        <v>495</v>
      </c>
      <c r="J83" s="9">
        <f>0.0024*18.7</f>
        <v>4.4879999999999996E-2</v>
      </c>
    </row>
    <row r="84" spans="3:10" ht="34.35" customHeight="1">
      <c r="C84" s="120"/>
      <c r="D84" s="120"/>
      <c r="E84" s="120"/>
      <c r="F84" s="120"/>
      <c r="G84" s="120"/>
      <c r="H84" s="120"/>
      <c r="I84" s="120"/>
      <c r="J84" s="120"/>
    </row>
    <row r="85" spans="3:10">
      <c r="C85" s="23"/>
      <c r="D85" s="14"/>
      <c r="E85" s="108" t="s">
        <v>65</v>
      </c>
      <c r="F85" s="108" t="s">
        <v>58</v>
      </c>
      <c r="G85" s="108" t="s">
        <v>408</v>
      </c>
      <c r="H85" s="108" t="s">
        <v>410</v>
      </c>
      <c r="I85" s="123" t="s">
        <v>457</v>
      </c>
      <c r="J85" s="108" t="s">
        <v>458</v>
      </c>
    </row>
    <row r="86" spans="3:10" ht="27.6" customHeight="1">
      <c r="C86" s="260" t="s">
        <v>506</v>
      </c>
      <c r="D86" s="14" t="s">
        <v>507</v>
      </c>
      <c r="E86" s="9">
        <v>1838.63</v>
      </c>
      <c r="F86" s="125" t="s">
        <v>508</v>
      </c>
      <c r="G86" s="125" t="s">
        <v>416</v>
      </c>
      <c r="H86" s="125" t="s">
        <v>509</v>
      </c>
      <c r="I86" s="114"/>
      <c r="J86" s="114"/>
    </row>
    <row r="87" spans="3:10" ht="36" customHeight="1">
      <c r="C87" s="261"/>
      <c r="D87" s="14" t="s">
        <v>510</v>
      </c>
      <c r="E87" s="9">
        <v>1365</v>
      </c>
      <c r="F87" s="125" t="s">
        <v>511</v>
      </c>
      <c r="G87" s="125" t="s">
        <v>416</v>
      </c>
      <c r="H87" s="135"/>
      <c r="I87" s="114"/>
      <c r="J87" s="114"/>
    </row>
    <row r="88" spans="3:10" ht="30.6" customHeight="1">
      <c r="C88" s="262"/>
      <c r="D88" s="14" t="s">
        <v>512</v>
      </c>
      <c r="E88" s="9">
        <v>723.25</v>
      </c>
      <c r="F88" s="125" t="s">
        <v>513</v>
      </c>
      <c r="G88" s="135" t="s">
        <v>514</v>
      </c>
      <c r="H88" s="127" t="s">
        <v>515</v>
      </c>
      <c r="I88" s="114"/>
      <c r="J88" s="114"/>
    </row>
    <row r="89" spans="3:10" ht="30.6" customHeight="1"/>
    <row r="90" spans="3:10">
      <c r="C90" s="248" t="s">
        <v>516</v>
      </c>
      <c r="D90" s="14"/>
      <c r="E90" s="108" t="s">
        <v>65</v>
      </c>
      <c r="F90" s="108" t="s">
        <v>58</v>
      </c>
      <c r="G90" s="108" t="s">
        <v>408</v>
      </c>
      <c r="H90" s="108" t="s">
        <v>410</v>
      </c>
      <c r="I90" s="123" t="s">
        <v>457</v>
      </c>
      <c r="J90" s="108" t="s">
        <v>458</v>
      </c>
    </row>
    <row r="91" spans="3:10">
      <c r="C91" s="249"/>
      <c r="D91" s="14" t="s">
        <v>453</v>
      </c>
      <c r="E91" s="113">
        <v>23</v>
      </c>
      <c r="F91" s="113" t="s">
        <v>454</v>
      </c>
      <c r="G91" s="115" t="s">
        <v>416</v>
      </c>
      <c r="H91" s="115" t="s">
        <v>517</v>
      </c>
      <c r="I91" s="114"/>
      <c r="J91" s="114"/>
    </row>
    <row r="92" spans="3:10" ht="34.35" customHeight="1">
      <c r="C92" s="249"/>
      <c r="D92" s="14" t="s">
        <v>518</v>
      </c>
      <c r="E92" s="9">
        <v>79.09</v>
      </c>
      <c r="F92" s="9" t="s">
        <v>513</v>
      </c>
      <c r="G92" s="134" t="s">
        <v>514</v>
      </c>
      <c r="H92" s="127" t="s">
        <v>515</v>
      </c>
      <c r="I92" s="114"/>
      <c r="J92" s="114"/>
    </row>
    <row r="93" spans="3:10">
      <c r="C93" s="249"/>
      <c r="D93" s="14" t="s">
        <v>519</v>
      </c>
      <c r="E93" s="113">
        <v>122.64</v>
      </c>
      <c r="F93" s="115" t="s">
        <v>520</v>
      </c>
      <c r="G93" s="115" t="s">
        <v>416</v>
      </c>
      <c r="H93" s="115" t="s">
        <v>521</v>
      </c>
      <c r="I93" s="114"/>
      <c r="J93" s="114"/>
    </row>
    <row r="94" spans="3:10" ht="38.450000000000003" customHeight="1">
      <c r="C94" s="249"/>
      <c r="D94" s="14" t="s">
        <v>522</v>
      </c>
      <c r="E94" s="9">
        <v>205.63</v>
      </c>
      <c r="F94" s="9" t="s">
        <v>513</v>
      </c>
      <c r="G94" s="134" t="s">
        <v>514</v>
      </c>
      <c r="H94" s="127" t="s">
        <v>515</v>
      </c>
      <c r="I94" s="114"/>
      <c r="J94" s="114"/>
    </row>
    <row r="95" spans="3:10">
      <c r="C95" s="249"/>
      <c r="D95" s="14" t="s">
        <v>523</v>
      </c>
      <c r="E95" s="9">
        <v>83.2</v>
      </c>
      <c r="F95" s="115" t="s">
        <v>520</v>
      </c>
      <c r="G95" s="115" t="s">
        <v>416</v>
      </c>
      <c r="H95" s="115" t="s">
        <v>524</v>
      </c>
      <c r="I95" s="114"/>
      <c r="J95" s="114"/>
    </row>
    <row r="96" spans="3:10" ht="36" customHeight="1">
      <c r="C96" s="250"/>
      <c r="D96" s="14" t="s">
        <v>525</v>
      </c>
      <c r="E96" s="9">
        <v>158.75</v>
      </c>
      <c r="F96" s="9" t="s">
        <v>513</v>
      </c>
      <c r="G96" s="134" t="s">
        <v>514</v>
      </c>
      <c r="H96" s="127" t="s">
        <v>515</v>
      </c>
      <c r="I96" s="114"/>
      <c r="J96" s="114"/>
    </row>
    <row r="97" spans="4:8">
      <c r="D97" s="120"/>
      <c r="E97" s="120"/>
      <c r="F97" s="120"/>
      <c r="G97" s="120"/>
      <c r="H97" s="120"/>
    </row>
    <row r="98" spans="4:8">
      <c r="D98" s="120"/>
      <c r="E98" s="120"/>
      <c r="F98" s="120"/>
      <c r="G98" s="120"/>
      <c r="H98" s="120"/>
    </row>
  </sheetData>
  <mergeCells count="17">
    <mergeCell ref="C73:C75"/>
    <mergeCell ref="C77:C79"/>
    <mergeCell ref="C81:C83"/>
    <mergeCell ref="C86:C88"/>
    <mergeCell ref="C90:C96"/>
    <mergeCell ref="C69:C71"/>
    <mergeCell ref="D2:F2"/>
    <mergeCell ref="D3:I3"/>
    <mergeCell ref="E4:I4"/>
    <mergeCell ref="C7:C11"/>
    <mergeCell ref="C13:C19"/>
    <mergeCell ref="C21:C25"/>
    <mergeCell ref="C27:C34"/>
    <mergeCell ref="C36:C44"/>
    <mergeCell ref="C53:C56"/>
    <mergeCell ref="C58:C61"/>
    <mergeCell ref="C63:C66"/>
  </mergeCells>
  <hyperlinks>
    <hyperlink ref="H60" r:id="rId1" display="https://www.semanticscholar.org/paper/LCI-data-for-the-calculation-tool-Feedprint-for-gas-Marinussen-Kernebeek/367774ab3c17da2e86319aed0c934cd3a33f8117/figure/4" xr:uid="{5E73E91A-F58A-4471-AA32-953F42207425}"/>
    <hyperlink ref="G55" r:id="rId2" xr:uid="{FFFC4228-10E3-465F-94E2-3AA8F3B1731F}"/>
    <hyperlink ref="G54" r:id="rId3" xr:uid="{43827659-B730-46E4-9378-5584E871A26C}"/>
    <hyperlink ref="G56" r:id="rId4" xr:uid="{98FDD96E-9A7D-4110-8F0E-C2FBF8472234}"/>
    <hyperlink ref="G59" r:id="rId5" xr:uid="{785F5E6B-2335-4F66-97FA-95BDC180E718}"/>
    <hyperlink ref="G61" r:id="rId6" xr:uid="{74200B14-1CE5-4024-A0D9-EEE1D933A1CE}"/>
    <hyperlink ref="G65" r:id="rId7" xr:uid="{A86A8F29-FB86-4890-972F-95EE0F3DFE8C}"/>
    <hyperlink ref="G66" r:id="rId8" xr:uid="{05D93197-697B-491B-8EB5-F1C42E020DCE}"/>
    <hyperlink ref="G70" r:id="rId9" xr:uid="{38C8A3BE-895E-47C3-93DA-DCF15B29D179}"/>
    <hyperlink ref="G71" r:id="rId10" xr:uid="{988AACAE-9F93-4EA2-8B11-BA4F4C87B416}"/>
    <hyperlink ref="G74" r:id="rId11" xr:uid="{F0FA01C5-4D57-47A6-9FF2-E7E492B0C574}"/>
    <hyperlink ref="G75" r:id="rId12" xr:uid="{68A3F82B-9092-43D5-BF8F-A7E456A9AB11}"/>
    <hyperlink ref="G78" r:id="rId13" xr:uid="{94CE8D75-DBCD-455C-B333-67990803B14C}"/>
    <hyperlink ref="G79" r:id="rId14" xr:uid="{C0098C9D-230F-43D8-ABAF-503B79A28F85}"/>
    <hyperlink ref="G82" r:id="rId15" xr:uid="{4D22245B-199F-48C3-8B78-3B7EE258F377}"/>
    <hyperlink ref="G83" r:id="rId16" xr:uid="{D1A78549-6565-406A-8234-54128C478DD0}"/>
    <hyperlink ref="G88" r:id="rId17" xr:uid="{32A23A04-C193-4EA1-B07A-3F42AFFBF4F5}"/>
    <hyperlink ref="G92" r:id="rId18" xr:uid="{DC2EBF19-785E-471D-9851-86FDF10DC894}"/>
    <hyperlink ref="G94" r:id="rId19" xr:uid="{CCC00BFE-C9BC-4EB8-81D0-3945C6BD5222}"/>
    <hyperlink ref="G96" r:id="rId20" xr:uid="{B63A6E74-02A7-4662-A4F5-B46C5D33F3F5}"/>
    <hyperlink ref="G64" r:id="rId21" xr:uid="{B157FB23-5E88-4DE7-8131-0714793D856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9884CFDACAA4A4391E63416A81F8F9C" ma:contentTypeVersion="13" ma:contentTypeDescription="Create a new document." ma:contentTypeScope="" ma:versionID="e9008accf46ca8563d2d2a2de20db013">
  <xsd:schema xmlns:xsd="http://www.w3.org/2001/XMLSchema" xmlns:xs="http://www.w3.org/2001/XMLSchema" xmlns:p="http://schemas.microsoft.com/office/2006/metadata/properties" xmlns:ns2="b9bdbf82-f34d-47d4-a4b8-414c81da163d" xmlns:ns3="f04c5165-4bd4-4c8a-a40e-5701edfc4e4f" targetNamespace="http://schemas.microsoft.com/office/2006/metadata/properties" ma:root="true" ma:fieldsID="468ccd572510d7ebc0e69b608f5dabec" ns2:_="" ns3:_="">
    <xsd:import namespace="b9bdbf82-f34d-47d4-a4b8-414c81da163d"/>
    <xsd:import namespace="f04c5165-4bd4-4c8a-a40e-5701edfc4e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TranslatedLan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dbf82-f34d-47d4-a4b8-414c81da16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6b3755e-5856-4399-9d86-976471c2812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ranslatedLang" ma:index="19" nillable="true" ma:displayName="Translated Language" ma:internalName="TranslatedLang">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4c5165-4bd4-4c8a-a40e-5701edfc4e4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bc8f3db-0d25-4d0b-b0ab-548255e2df34}" ma:internalName="TaxCatchAll" ma:showField="CatchAllData" ma:web="f04c5165-4bd4-4c8a-a40e-5701edfc4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04c5165-4bd4-4c8a-a40e-5701edfc4e4f" xsi:nil="true"/>
    <lcf76f155ced4ddcb4097134ff3c332f xmlns="b9bdbf82-f34d-47d4-a4b8-414c81da163d">
      <Terms xmlns="http://schemas.microsoft.com/office/infopath/2007/PartnerControls"/>
    </lcf76f155ced4ddcb4097134ff3c332f>
    <TranslatedLang xmlns="b9bdbf82-f34d-47d4-a4b8-414c81da163d" xsi:nil="true"/>
  </documentManagement>
</p:properties>
</file>

<file path=customXml/itemProps1.xml><?xml version="1.0" encoding="utf-8"?>
<ds:datastoreItem xmlns:ds="http://schemas.openxmlformats.org/officeDocument/2006/customXml" ds:itemID="{D97CFAE1-BBDA-4D83-B305-9ABA03F704D1}">
  <ds:schemaRefs>
    <ds:schemaRef ds:uri="http://schemas.microsoft.com/sharepoint/v3/contenttype/forms"/>
  </ds:schemaRefs>
</ds:datastoreItem>
</file>

<file path=customXml/itemProps2.xml><?xml version="1.0" encoding="utf-8"?>
<ds:datastoreItem xmlns:ds="http://schemas.openxmlformats.org/officeDocument/2006/customXml" ds:itemID="{A20CE5DB-EE47-4381-95BA-51C8E804E0EA}"/>
</file>

<file path=customXml/itemProps3.xml><?xml version="1.0" encoding="utf-8"?>
<ds:datastoreItem xmlns:ds="http://schemas.openxmlformats.org/officeDocument/2006/customXml" ds:itemID="{8823690A-85BF-4C4A-9C4C-417567B4A520}">
  <ds:schemaRefs>
    <ds:schemaRef ds:uri="http://purl.org/dc/dcmitype/"/>
    <ds:schemaRef ds:uri="http://schemas.microsoft.com/office/2006/metadata/properties"/>
    <ds:schemaRef ds:uri="c5df842b-3f6b-4868-a81f-900b989f5290"/>
    <ds:schemaRef ds:uri="http://purl.org/dc/elements/1.1/"/>
    <ds:schemaRef ds:uri="http://schemas.microsoft.com/office/2006/documentManagement/types"/>
    <ds:schemaRef ds:uri="http://www.w3.org/XML/1998/namespace"/>
    <ds:schemaRef ds:uri="3116918f-bd31-4626-bea1-4ae72685ba99"/>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96e14e5a-57ac-48d7-851d-12f54eff5a60}" enabled="0" method="" siteId="{96e14e5a-57ac-48d7-851d-12f54eff5a6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Disclaimer</vt:lpstr>
      <vt:lpstr>Calculator</vt:lpstr>
      <vt:lpstr>Backend</vt:lpstr>
      <vt:lpstr>Uncertainty Analysis</vt:lpstr>
      <vt:lpstr>Sensitivity Analysis</vt:lpstr>
      <vt:lpstr>Reference Data</vt:lpstr>
      <vt:lpstr>FirstOrderEffectsComponents</vt:lpstr>
      <vt:lpstr>Emission Factors</vt:lpstr>
      <vt:lpstr>R_Scenario_2022(FPS)</vt:lpstr>
      <vt:lpstr>DS_Scenario_2024(FPS)</vt:lpstr>
      <vt:lpstr>Kg_product_ref</vt:lpstr>
      <vt:lpstr>Kg_product_soln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Beatriz Fialho da Silva</dc:creator>
  <cp:keywords/>
  <dc:description/>
  <cp:lastModifiedBy>Matt Randall</cp:lastModifiedBy>
  <cp:revision/>
  <dcterms:created xsi:type="dcterms:W3CDTF">2021-03-04T12:00:57Z</dcterms:created>
  <dcterms:modified xsi:type="dcterms:W3CDTF">2026-05-20T08:36:50Z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0x01010039884CFDACAA4A4391E63416A81F8F9C</vt:lpwstr>
  </property>
  <property fmtid="{D5CDD505-2E9C-101B-9397-08002B2CF9AE}" pid="3" name="CustomerId">
    <vt:lpwstr>carbontrust</vt:lpwstr>
  </property>
  <property fmtid="{D5CDD505-2E9C-101B-9397-08002B2CF9AE}" pid="4" name="TemplateId">
    <vt:lpwstr>637511402857749439</vt:lpwstr>
  </property>
  <property fmtid="{D5CDD505-2E9C-101B-9397-08002B2CF9AE}" pid="5" name="UserProfileId">
    <vt:lpwstr>637465589768188597</vt:lpwstr>
  </property>
  <property fmtid="{D5CDD505-2E9C-101B-9397-08002B2CF9AE}" pid="6" name="MediaServiceImageTags">
    <vt:lpwstr/>
  </property>
</Properties>
</file>