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carbontrust.sharepoint.com/sites/Project-EUCommission-EGDCMovestoAction-Aug24/Shared Documents/General/3. Working Documents/Task 2 - Case Studies/4. Case Study Development/1. Batch 1 - July 2025/06. IBM/Calculator/"/>
    </mc:Choice>
  </mc:AlternateContent>
  <xr:revisionPtr revIDLastSave="833" documentId="8_{78FD8B8B-35F5-470B-93EF-BCC00A1EF591}" xr6:coauthVersionLast="47" xr6:coauthVersionMax="47" xr10:uidLastSave="{C8F40E85-07EA-4526-BEB8-1403544C7EDA}"/>
  <bookViews>
    <workbookView xWindow="28080" yWindow="-21600" windowWidth="26010" windowHeight="20985" firstSheet="1" activeTab="1" xr2:uid="{BF898BFC-83AF-4967-9E21-548B873846BE}"/>
  </bookViews>
  <sheets>
    <sheet name="Disclaimer" sheetId="20" r:id="rId1"/>
    <sheet name="Calculator" sheetId="9" r:id="rId2"/>
    <sheet name="Backend" sheetId="10" r:id="rId3"/>
    <sheet name="Uncertainty Analysis" sheetId="18" r:id="rId4"/>
    <sheet name="Sensitivity Analysis" sheetId="19" r:id="rId5"/>
    <sheet name="Raw Data Electricity" sheetId="25" r:id="rId6"/>
    <sheet name="First Order Effects" sheetId="24" r:id="rId7"/>
    <sheet name="Emission Factors" sheetId="2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0" l="1"/>
  <c r="E18" i="10"/>
  <c r="B25" i="9"/>
  <c r="B24" i="9"/>
  <c r="E13" i="10"/>
  <c r="K26" i="10"/>
  <c r="K27" i="10"/>
  <c r="D44" i="9" l="1"/>
  <c r="D7" i="19"/>
  <c r="D8" i="19"/>
  <c r="C7" i="19"/>
  <c r="C8" i="19"/>
  <c r="N17" i="18"/>
  <c r="N18" i="18"/>
  <c r="N16" i="18"/>
  <c r="M18" i="18"/>
  <c r="M17" i="18"/>
  <c r="M16" i="18"/>
  <c r="J8" i="18"/>
  <c r="O8" i="18" s="1"/>
  <c r="K8" i="18"/>
  <c r="L8" i="18"/>
  <c r="M8" i="18"/>
  <c r="N8" i="18"/>
  <c r="J9" i="18"/>
  <c r="O9" i="18" s="1"/>
  <c r="K9" i="18"/>
  <c r="L9" i="18"/>
  <c r="M9" i="18"/>
  <c r="N9" i="18"/>
  <c r="J10" i="18"/>
  <c r="K10" i="18"/>
  <c r="L10" i="18"/>
  <c r="M10" i="18"/>
  <c r="N10" i="18"/>
  <c r="I26" i="10"/>
  <c r="I21" i="10"/>
  <c r="I12" i="10"/>
  <c r="I11" i="10"/>
  <c r="I6" i="10"/>
  <c r="I5" i="10"/>
  <c r="C19" i="9"/>
  <c r="E5" i="10"/>
  <c r="E4" i="10"/>
  <c r="C24" i="9" l="1"/>
  <c r="E10" i="10"/>
  <c r="P8" i="18"/>
  <c r="P9" i="18"/>
  <c r="C39" i="9"/>
  <c r="C40" i="9"/>
  <c r="C42" i="9" s="1"/>
  <c r="C37" i="9"/>
  <c r="C38" i="9"/>
  <c r="O10" i="18"/>
  <c r="C25" i="9"/>
  <c r="E9" i="10"/>
  <c r="C31" i="9"/>
  <c r="E16" i="10" s="1"/>
  <c r="C32" i="9"/>
  <c r="C30" i="9"/>
  <c r="E15" i="10" s="1"/>
  <c r="C29" i="9"/>
  <c r="B29" i="9"/>
  <c r="B30" i="9"/>
  <c r="D5" i="22"/>
  <c r="N7" i="18"/>
  <c r="E14" i="10" l="1"/>
  <c r="E23" i="10" s="1"/>
  <c r="L5" i="10" s="1"/>
  <c r="L11" i="10"/>
  <c r="Q9" i="18"/>
  <c r="R9" i="18"/>
  <c r="E8" i="19"/>
  <c r="Q8" i="18"/>
  <c r="R8" i="18"/>
  <c r="E7" i="19"/>
  <c r="P10" i="18"/>
  <c r="L6" i="10"/>
  <c r="L12" i="10"/>
  <c r="D14" i="24" s="1"/>
  <c r="M7" i="18"/>
  <c r="K7" i="18"/>
  <c r="L7" i="18"/>
  <c r="J7" i="18"/>
  <c r="B32" i="9"/>
  <c r="B31" i="9"/>
  <c r="E17" i="10" l="1"/>
  <c r="L16" i="10" s="1"/>
  <c r="D16" i="24"/>
  <c r="J7" i="19"/>
  <c r="I7" i="19"/>
  <c r="L21" i="10"/>
  <c r="Q10" i="18"/>
  <c r="P17" i="18"/>
  <c r="P18" i="18"/>
  <c r="R10" i="18"/>
  <c r="O7" i="18"/>
  <c r="P7" i="18" l="1"/>
  <c r="P16" i="18" s="1"/>
  <c r="C41" i="9"/>
  <c r="P19" i="18"/>
  <c r="R17" i="18"/>
  <c r="R18" i="18"/>
  <c r="P20" i="18"/>
  <c r="Q18" i="18"/>
  <c r="Q17" i="18"/>
  <c r="R7" i="18"/>
  <c r="R16" i="18" s="1"/>
  <c r="Q7" i="18"/>
  <c r="Q16" i="18" s="1"/>
  <c r="C9" i="19"/>
  <c r="D9" i="19"/>
  <c r="O9" i="19" s="1"/>
  <c r="K7" i="19" l="1"/>
  <c r="L7" i="19"/>
  <c r="L26" i="10"/>
  <c r="L27" i="10" s="1"/>
  <c r="C43" i="9" s="1"/>
  <c r="C44" i="9" s="1"/>
  <c r="R19" i="18"/>
  <c r="R20" i="18" s="1"/>
  <c r="Q19" i="18"/>
  <c r="Q20" i="18" s="1"/>
  <c r="D6" i="19"/>
  <c r="O6" i="19" s="1"/>
  <c r="O7" i="19"/>
  <c r="O8" i="19"/>
  <c r="C6" i="19"/>
  <c r="J5" i="19"/>
  <c r="I5" i="19"/>
  <c r="E5" i="19"/>
  <c r="D5" i="19"/>
  <c r="C5" i="19"/>
  <c r="C48" i="9" l="1"/>
  <c r="C49" i="9"/>
  <c r="J8" i="19"/>
  <c r="L8" i="19" s="1"/>
  <c r="I8" i="19" l="1"/>
  <c r="K8" i="19" s="1"/>
  <c r="E9" i="19" l="1"/>
  <c r="J9" i="19" s="1"/>
  <c r="L9" i="19" s="1"/>
  <c r="E6" i="19"/>
  <c r="I6" i="19" l="1"/>
  <c r="N7" i="19"/>
  <c r="M7" i="19"/>
  <c r="M8" i="19"/>
  <c r="N8" i="19"/>
  <c r="J6" i="19"/>
  <c r="N9" i="19"/>
  <c r="I9" i="19"/>
  <c r="K9" i="19" l="1"/>
  <c r="M9" i="19" s="1"/>
  <c r="L6" i="19"/>
  <c r="N6" i="19" s="1"/>
  <c r="K6" i="19"/>
  <c r="M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Vyvyan</author>
  </authors>
  <commentList>
    <comment ref="C33" authorId="0" shapeId="0" xr:uid="{79013C91-1EC5-4BA1-9B89-055C1741B3D2}">
      <text>
        <r>
          <rPr>
            <b/>
            <sz val="9"/>
            <color indexed="81"/>
            <rFont val="Tahoma"/>
            <family val="2"/>
          </rPr>
          <t>100% of IBM LinuxONE compute power is used in this case study, meaning we account for all cradle-to-gate emissions. If not all compute power is required to achieve same ICT workload, adjust the percentage here.</t>
        </r>
      </text>
    </comment>
  </commentList>
</comments>
</file>

<file path=xl/sharedStrings.xml><?xml version="1.0" encoding="utf-8"?>
<sst xmlns="http://schemas.openxmlformats.org/spreadsheetml/2006/main" count="373" uniqueCount="244">
  <si>
    <t>Disclaimer for European Parliament Pilot Project – European Green Digital Coalition (EGDC) Case Studies</t>
  </si>
  <si>
    <t>The following disclaimer is intended to provide clarity and context for the case studies prepared as part of the Phase 2 - EGDC Moves to Action, which have showcased the net carbon impact of specific digital solutions using the EGDC ICT Methodology developed during the project:</t>
  </si>
  <si>
    <t>1. Purpose of the Case Studies:</t>
  </si>
  <si>
    <t>The case studies served multiple purposes, including:</t>
  </si>
  <si>
    <r>
      <t>1. Development of the Methodology:</t>
    </r>
    <r>
      <rPr>
        <sz val="10"/>
        <color theme="1"/>
        <rFont val="Lora"/>
      </rPr>
      <t xml:space="preserve"> They contributed to the development of the EGDC ICT Methodology. These case studies were conducted concurrently with the methodology's creation and served as a valuable testing ground for its initial formulation.</t>
    </r>
  </si>
  <si>
    <r>
      <t>2. Application Examples:</t>
    </r>
    <r>
      <rPr>
        <sz val="10"/>
        <color theme="1"/>
        <rFont val="Lora"/>
      </rPr>
      <t xml:space="preserve"> They provided practical examples of how the methodology can be applied to real-life use cases. These case studies were essential in demonstrating the practicality and effectiveness of the methodology when applied to concrete situations.</t>
    </r>
  </si>
  <si>
    <r>
      <t>3. Identification of Improvement Areas:</t>
    </r>
    <r>
      <rPr>
        <sz val="10"/>
        <color theme="1"/>
        <rFont val="Lora"/>
      </rPr>
      <t xml:space="preserve"> By conducting these case studies, we aimed to highlight parts of the calculation in need of improvement. They shed light on the challenges and limitations inherent in using available data and indicated the necessary steps to move towards best practices in assessing net carbon impacts.</t>
    </r>
  </si>
  <si>
    <t>2. Data Quality as a Key Determinant:</t>
  </si>
  <si>
    <t>It is imperative to emphasize that data quality is a fundamental determinant of the quality and reliability of the case studies. The accuracy and completeness of the data used significantly influence the outcomes and findings of these case studies.</t>
  </si>
  <si>
    <t>It is essential to acknowledge that the data available for each case study may differ in terms of accuracy, granularity, and coverage. As a result, the case studies may not necessarily represent the best practice application of the EGDC ICT Methodology. Instead, they reflect the application of the methodology at various stages of data availability.</t>
  </si>
  <si>
    <t>3. Liability for Errors/Omissions:</t>
  </si>
  <si>
    <t>While reasonable steps have been taken to ensure that the information contained within the case studies is correct, the EGDC gives no warranty and makes no representation as to its accuracy. We accept no liability for any errors or omissions that may be present in the case studies, methodology, or related information. Users and readers are advised to exercise their judgment and seek further clarification if needed, as the information provided may evolve over time and depend on external factors beyond our control.</t>
  </si>
  <si>
    <t>4. Appropriate Use of the Case Study Calculators:</t>
  </si>
  <si>
    <t>The case study calculators are intended for educational and informational purposes. They rely on certain assumptions and input data to generate results.</t>
  </si>
  <si>
    <t>The results of the calculators are specific to the implementation of the ICT solution and may not be representative for other implementation contexts.</t>
  </si>
  <si>
    <t>As such, it is imperative for users to refrain from directly extrapolating these results to ICT solutions or implementation contexts that may seem conceptually similar.</t>
  </si>
  <si>
    <t>Instead, users are advised to use the calculators as a means to understand the practical application of the EGDC ICT Methodology, thereby equipping themselves with the knowledge required to develop customized calculators specifically tailored to their unique ICT solutions and implementation circumstances.</t>
  </si>
  <si>
    <t>In conclusion, these case studies provide valuable insights into the calculation of the net carbon impact of digital solutions through the practical application of the EGDC ICT Methodology. However, it is vital to exercise caution when interpreting the results, considering the variances in data quality and the evolving nature of the methodology. The findings are indicative of the methodology's potential and its room for refinement as we work towards more accurate and comprehensive assessments of net carbon impacts.</t>
  </si>
  <si>
    <t>Overview</t>
  </si>
  <si>
    <r>
      <rPr>
        <b/>
        <i/>
        <sz val="11"/>
        <color rgb="FF000000"/>
        <rFont val="Lora"/>
      </rPr>
      <t>Description</t>
    </r>
    <r>
      <rPr>
        <i/>
        <sz val="11"/>
        <color rgb="FF000000"/>
        <rFont val="Lora"/>
      </rPr>
      <t>: IBM LinuxONE is an enterprise-grade server designed to replace large numbers of conventional x86 servers as it can deliver the same computational workload on significantly fewer cores, reducing overall energy consumption and associated GHG emissions.   
Both the reference and solution scenario are located in IBM's office in Poughkeepsie, N.Y.</t>
    </r>
  </si>
  <si>
    <t>Scenarios</t>
  </si>
  <si>
    <t>Reference Scenario(s)</t>
  </si>
  <si>
    <t xml:space="preserve">In the reference scenario, delivering the equivalent compute power uses 126 x86 servers with 5,376 cores. </t>
  </si>
  <si>
    <t>Solution Scenario(s)</t>
  </si>
  <si>
    <t xml:space="preserve">In the solution scenario, a single IBM LinuxONE Emperor 5 Max is used with 136 cores, delivering the equivalent computation power to 126 x86 servers in the reference scenario. By running the same workloads on significantly fewer cores, the solution reduces the overall energy consumption, power consumption, and carbon emissions. </t>
  </si>
  <si>
    <t>Functional Unit</t>
  </si>
  <si>
    <t>per delivery of the reference ICT workload to the same service level (SLA) over the study period  </t>
  </si>
  <si>
    <t>Context</t>
  </si>
  <si>
    <t>Implementation Context</t>
  </si>
  <si>
    <t>Country</t>
  </si>
  <si>
    <t>United States of America</t>
  </si>
  <si>
    <t>Server Location</t>
  </si>
  <si>
    <t xml:space="preserve"> Poughkeepsie, NY.</t>
  </si>
  <si>
    <t>Time period for the assesment (years)</t>
  </si>
  <si>
    <t>Inputs</t>
  </si>
  <si>
    <t>Required Inputs</t>
  </si>
  <si>
    <t>Optional Adjustments</t>
  </si>
  <si>
    <t>Defaults</t>
  </si>
  <si>
    <t>Manual Override (add value)</t>
  </si>
  <si>
    <t>Share of IBM LinuxONE compute used</t>
  </si>
  <si>
    <t>Results</t>
  </si>
  <si>
    <t>Annual Energy Consumption from servers before the LinuxONE solution was implemented</t>
  </si>
  <si>
    <t>kWh/year</t>
  </si>
  <si>
    <t>Annual Energy Consumption from servers after the LinuxONE solution was implemented</t>
  </si>
  <si>
    <t>Total Energy Consumption from servers before the LinuxONE solution was implemented</t>
  </si>
  <si>
    <t>kWh/5 years</t>
  </si>
  <si>
    <t>Total Energy Consumption from servers after the LinuxONE solution was implemented</t>
  </si>
  <si>
    <t>Cradle-to-gate GHG emissions of the IBM LinuxONE Emperor 5 server (First-order effects)</t>
  </si>
  <si>
    <t xml:space="preserve">tCO2e </t>
  </si>
  <si>
    <t>% of energy savings through use of solution</t>
  </si>
  <si>
    <t>%</t>
  </si>
  <si>
    <t>Total carbon savings enabled</t>
  </si>
  <si>
    <t>tCO2e/5 years</t>
  </si>
  <si>
    <t>Carbon savings enablement factor</t>
  </si>
  <si>
    <t>Uncertainty Analysis Results</t>
  </si>
  <si>
    <t>Total carbon savings enabled (lower range)</t>
  </si>
  <si>
    <t>tCO2e / 5 years</t>
  </si>
  <si>
    <t>Total carbon savings enabled (higher range)</t>
  </si>
  <si>
    <t>Calculation</t>
  </si>
  <si>
    <t>Explanation/Notes</t>
  </si>
  <si>
    <t>Unit</t>
  </si>
  <si>
    <t>Value</t>
  </si>
  <si>
    <t>Reference Scenario</t>
  </si>
  <si>
    <t xml:space="preserve">Baseline Annual Electricity Consumption (production &amp; Non-production environments) - measured </t>
  </si>
  <si>
    <t>Reference Scenario energy consumption</t>
  </si>
  <si>
    <t>Calculation Step</t>
  </si>
  <si>
    <t>Formula (Written Out)</t>
  </si>
  <si>
    <t>Dimensional Analysis</t>
  </si>
  <si>
    <t xml:space="preserve">Scenario Annual Electricity Consumption (production &amp; Non-production environments) - measured </t>
  </si>
  <si>
    <t>Solution Scenario energy consumption</t>
  </si>
  <si>
    <t>Annual Emissions in reference scenario</t>
  </si>
  <si>
    <t>kWh * Grid EF (kgCO2e/kWh)</t>
  </si>
  <si>
    <t>kgCO2e</t>
  </si>
  <si>
    <t>Length of time period assessed</t>
  </si>
  <si>
    <t>Used to calculate total electricity consumption for the full case study length</t>
  </si>
  <si>
    <t>Years</t>
  </si>
  <si>
    <t>Total reference scenario emissions across full case study period</t>
  </si>
  <si>
    <t>kgCO2e * Time period (5 years)</t>
  </si>
  <si>
    <t>Total consumption</t>
  </si>
  <si>
    <t>Reference Scenario total Energy Consumption</t>
  </si>
  <si>
    <t>Extrapolated to account for full test time period</t>
  </si>
  <si>
    <t>Solution Scenario</t>
  </si>
  <si>
    <t>Solution Scenario total Energy Consumption</t>
  </si>
  <si>
    <t>Annual Emissions in solution scenario</t>
  </si>
  <si>
    <t xml:space="preserve">Optional adjustments </t>
  </si>
  <si>
    <t>Total solution scenario emissions across full case study period</t>
  </si>
  <si>
    <t>Share of IBM LinuxONE power compute used</t>
  </si>
  <si>
    <t>If full compute power of IBM LinuxONE is not utilised, full lifecycle emissions do not need to be accounted for, as not all embodied emissions are related to compute in the case study.</t>
  </si>
  <si>
    <t>Grid Emissions Factor (kgCO2e/kWh)</t>
  </si>
  <si>
    <t>Option to change grid emissions factor to reflect different contexts or years in the assessment</t>
  </si>
  <si>
    <t>kgCO2e/kWh</t>
  </si>
  <si>
    <t>First Order Effects - Solution Emissions</t>
  </si>
  <si>
    <t>Manufacturing emissions (kgCO2e)</t>
  </si>
  <si>
    <t>Figure calculated by IBM and provided as an overall figure.</t>
  </si>
  <si>
    <t>Calculation Step2</t>
  </si>
  <si>
    <t>Upstream Transportation emissions (kgCO2e)</t>
  </si>
  <si>
    <t>Total lifecycle emissions of the IBM LinuxONE Emperor 5 Max 136</t>
  </si>
  <si>
    <t>kgCO2e + kgCO2e + kgCO2e</t>
  </si>
  <si>
    <t>Non-electricity Use-Phase Emissions (kgCO2e)</t>
  </si>
  <si>
    <t>End of life emissions (kgCO2e)</t>
  </si>
  <si>
    <t>Second order effects - avoided emissions</t>
  </si>
  <si>
    <t>Emission Factors</t>
  </si>
  <si>
    <t>Emission Factors tab</t>
  </si>
  <si>
    <t>Second Order Effects</t>
  </si>
  <si>
    <t>kgCO2e - kgCO2e</t>
  </si>
  <si>
    <t>Emission Factor</t>
  </si>
  <si>
    <t>Notes</t>
  </si>
  <si>
    <t xml:space="preserve">Grid Emissions Factor </t>
  </si>
  <si>
    <t>Emissions factor may change if optional adjustment is used to consider the solution in different grid contexts</t>
  </si>
  <si>
    <t>Net avoided emissions</t>
  </si>
  <si>
    <t>Net Carbon Impact</t>
  </si>
  <si>
    <t>Net Carbon Impact in tonnes of CO2e</t>
  </si>
  <si>
    <t>Net Carbon Impact / 1000</t>
  </si>
  <si>
    <t>kgCO2e/1000 = tCO2e</t>
  </si>
  <si>
    <t>Uncertainty Analysis</t>
  </si>
  <si>
    <t xml:space="preserve">This analysis assesses the uncertainty in the quality of the data inputs.
</t>
  </si>
  <si>
    <t>Qualitative Assessment of Data Quality</t>
  </si>
  <si>
    <t>Uncertainty scaling factors</t>
  </si>
  <si>
    <t>Impact of Uncertainty on Net Carbon Impact (kgCO2e)</t>
  </si>
  <si>
    <t>Data type</t>
  </si>
  <si>
    <t>Impact effect</t>
  </si>
  <si>
    <t>Description of effect</t>
  </si>
  <si>
    <t>Activity</t>
  </si>
  <si>
    <t xml:space="preserve">Time </t>
  </si>
  <si>
    <t>Geography</t>
  </si>
  <si>
    <t xml:space="preserve">Reliability </t>
  </si>
  <si>
    <t>Completeness</t>
  </si>
  <si>
    <t>SD</t>
  </si>
  <si>
    <t>Input data</t>
  </si>
  <si>
    <t>Input data with SD (higher range)</t>
  </si>
  <si>
    <t>Input data with SD (lower range)</t>
  </si>
  <si>
    <t>Activity Data</t>
  </si>
  <si>
    <t xml:space="preserve">1st order </t>
  </si>
  <si>
    <t>IBM LinuxOne LCA</t>
  </si>
  <si>
    <t xml:space="preserve">Good </t>
  </si>
  <si>
    <t>Very Good</t>
  </si>
  <si>
    <t>Very good</t>
  </si>
  <si>
    <t>Reference scenario Energy consumption</t>
  </si>
  <si>
    <t>x86 server energy consumption</t>
  </si>
  <si>
    <t>Solution scenario Energy consumption</t>
  </si>
  <si>
    <t>IBM LinuxOne Energy Consumption</t>
  </si>
  <si>
    <t>Emission factors</t>
  </si>
  <si>
    <t xml:space="preserve">1st &amp; 2nd order </t>
  </si>
  <si>
    <t>Grid Emissions Factor</t>
  </si>
  <si>
    <t>Fair</t>
  </si>
  <si>
    <t>Data quality criteria and scoring</t>
  </si>
  <si>
    <t>Data Quality Criteria</t>
  </si>
  <si>
    <t>Good</t>
  </si>
  <si>
    <t>Poor</t>
  </si>
  <si>
    <t>Emissions (kgCO2e)</t>
  </si>
  <si>
    <r>
      <rPr>
        <b/>
        <sz val="11"/>
        <color rgb="FF000000"/>
        <rFont val="Lora"/>
      </rPr>
      <t xml:space="preserve">Technological representativeness: </t>
    </r>
    <r>
      <rPr>
        <sz val="11"/>
        <color rgb="FF000000"/>
        <rFont val="Lora"/>
      </rPr>
      <t>Confirm that the data aligns with the technology used in the solution</t>
    </r>
  </si>
  <si>
    <t xml:space="preserve">Data is broken down into all key factors that drive emissions e.g., a complete LCA of each of the solution components </t>
  </si>
  <si>
    <t>Data is well described at a high level e.g., materials used and weights in each component has been provided</t>
  </si>
  <si>
    <t>Data is generic e.g., data on similar components has been used</t>
  </si>
  <si>
    <t>Proxy data only so estimates / assumptions have been used</t>
  </si>
  <si>
    <r>
      <t xml:space="preserve">Temporal representativeness: </t>
    </r>
    <r>
      <rPr>
        <sz val="11"/>
        <color theme="1"/>
        <rFont val="Lora"/>
      </rPr>
      <t>Assess how old the data is and if it is representative to the solution implementation context</t>
    </r>
  </si>
  <si>
    <t>Data used is specific to the case study and covers entire relevant time period</t>
  </si>
  <si>
    <t>Some data is from other years but more than 50% is from relevant time period</t>
  </si>
  <si>
    <t>Data is relevant for for less than 50% of time period</t>
  </si>
  <si>
    <t xml:space="preserve">Data is not relevant to the time period </t>
  </si>
  <si>
    <r>
      <t xml:space="preserve">Geographical representativeness: </t>
    </r>
    <r>
      <rPr>
        <sz val="11"/>
        <color theme="1"/>
        <rFont val="Lora"/>
      </rPr>
      <t>Assess whether the data used is specific to the  location and context of the solution implementation.</t>
    </r>
  </si>
  <si>
    <t>All data used is specific to the geography of the case study implementation context</t>
  </si>
  <si>
    <t xml:space="preserve">Some data is from other geographies but more than 50% is specific to the geography of the case study implementation context </t>
  </si>
  <si>
    <t>Data specific to the geography of the case study implementation context accounts for less than 50% of data</t>
  </si>
  <si>
    <t>Data is not relevant to the geography of the case study</t>
  </si>
  <si>
    <t>Total carbon savings enabled (tCO2e)</t>
  </si>
  <si>
    <r>
      <t xml:space="preserve">Completeness: </t>
    </r>
    <r>
      <rPr>
        <sz val="11"/>
        <color theme="1"/>
        <rFont val="Lora"/>
      </rPr>
      <t>Assess whether the data contains all relevant data or whether estimates or assumptions have been used to account for missing data</t>
    </r>
  </si>
  <si>
    <t>Full dataset - no missing data / extrapolation</t>
  </si>
  <si>
    <t>Significant sample / good representation of data period</t>
  </si>
  <si>
    <t>Small sample / Incomplete coverage, use of reasonable/data backed assumptions to fill data gaps</t>
  </si>
  <si>
    <t>Small sample / Incomplete coverage / data gaps filled with assumptions not backed by data</t>
  </si>
  <si>
    <t>Error values (tCO2e)</t>
  </si>
  <si>
    <r>
      <t xml:space="preserve">Reliability of source: </t>
    </r>
    <r>
      <rPr>
        <sz val="11"/>
        <color theme="1"/>
        <rFont val="Lora"/>
      </rPr>
      <t>Consider the source of the data and how reliable this is</t>
    </r>
  </si>
  <si>
    <t>Primary measured data / Publicly available from an internationally renowned source</t>
  </si>
  <si>
    <t>Publicly available with transparent high-quality methods / Primary survey data with high-quality methods</t>
  </si>
  <si>
    <t>Secondary data and proxies that are justified by strong evidence/reliable sources</t>
  </si>
  <si>
    <t>Secondary data that is not publicly available / from a reliable source</t>
  </si>
  <si>
    <t>Source: EGDC ICT Methodology</t>
  </si>
  <si>
    <t>Reliability</t>
  </si>
  <si>
    <t>Temporal representativeness</t>
  </si>
  <si>
    <t>Geographical representativeness</t>
  </si>
  <si>
    <t>Activity representativeness</t>
  </si>
  <si>
    <t>Adapted from: Greenhouse Gas Protocol, Quantitative Inventory Uncertainty, https://ghgprotocol.org/sites/default/files/2022-12/Quantitative%20Uncertainty%20Guidance.pdf</t>
  </si>
  <si>
    <t>Sensitivity Analysis</t>
  </si>
  <si>
    <t>This analysis aims to show the impact of varying the inputs to the net imapct calculation in different implementation contexts.</t>
  </si>
  <si>
    <t>% variation of input (lower)</t>
  </si>
  <si>
    <t>% variation of input (higher)</t>
  </si>
  <si>
    <t>Net carbon impact (kgCO2e) - higher range</t>
  </si>
  <si>
    <t>Net carbon impact (kgCO2e) - lower range</t>
  </si>
  <si>
    <t>Percentage change to net carbon impact - higher range</t>
  </si>
  <si>
    <t>Percentage change to net carbon impact - lower range</t>
  </si>
  <si>
    <t>Description of change</t>
  </si>
  <si>
    <t>activity data</t>
  </si>
  <si>
    <t>kWh</t>
  </si>
  <si>
    <t>emission factor</t>
  </si>
  <si>
    <t>Raw Data - Electricity</t>
  </si>
  <si>
    <t>Source: COLT-AHU-ReferenceVsActual_RAW</t>
  </si>
  <si>
    <t>The consumption source for the reference and solution scenario is the file “Filled Copy of Data request form - IBM LinuxOne (jka) v01.23.xlsx”
The total energy consumption used in the calculator for the reference includes actual performance measurement tests performed by the IBM team on a comparable x86 environment, with 128 cores on 6 servers. The final analysis included non-production environments and the whole solution was scaled 126 x86 servers with 5,376 cores.
The total energy from the solution scenario is also from actual measurements from tests performed by IBM. The test environment for LinuxONE 5 simulated production environment with 16 Cores. The final analysis included non-production environments and the whole solution was scaled to 136 LinuxONE 5 cores, which represents the full number of cores available on the IBM LinuxOne Emperor 5 Max 136 model used in the study.</t>
  </si>
  <si>
    <t>Reference scenario emissions</t>
  </si>
  <si>
    <r>
      <t xml:space="preserve">Data from </t>
    </r>
    <r>
      <rPr>
        <b/>
        <i/>
        <sz val="11"/>
        <color rgb="FF2147ED"/>
        <rFont val="Lora"/>
      </rPr>
      <t>before</t>
    </r>
    <r>
      <rPr>
        <i/>
        <sz val="11"/>
        <color rgb="FF2147ED"/>
        <rFont val="Lora"/>
      </rPr>
      <t xml:space="preserve"> the solution was implemented</t>
    </r>
  </si>
  <si>
    <r>
      <rPr>
        <b/>
        <sz val="11"/>
        <color rgb="FF000000"/>
        <rFont val="Lora"/>
      </rPr>
      <t>Description:</t>
    </r>
    <r>
      <rPr>
        <sz val="11"/>
        <color rgb="FF000000"/>
        <rFont val="Lora"/>
      </rPr>
      <t xml:space="preserve"> In the reference scenario, computer workloads operate in an x86 environment on 126 older servers, occupying data center space and consuming typical server energy consumption. </t>
    </r>
  </si>
  <si>
    <t>Data</t>
  </si>
  <si>
    <t>Unit (e.g. m², kWh/year etc.)</t>
  </si>
  <si>
    <t>Source</t>
  </si>
  <si>
    <t>Comment</t>
  </si>
  <si>
    <t>Baseline Energy Consumption</t>
  </si>
  <si>
    <t>Filled Copy of Data request form - IBM LinuxOne (jka) v01.23.xlsx</t>
  </si>
  <si>
    <t>Energy consumption of the whole environment (production and non-production environments) of 126 x86 servers with 5,376 cores</t>
  </si>
  <si>
    <t>Time Period of Data Collection</t>
  </si>
  <si>
    <t>years</t>
  </si>
  <si>
    <t>Assessment timeframe of 5 years in both the reference and solution scenario</t>
  </si>
  <si>
    <t>Number of server cores used</t>
  </si>
  <si>
    <t>Cores</t>
  </si>
  <si>
    <t>Provided by IBM - Number of cores used in energy consumption testing</t>
  </si>
  <si>
    <t>Solution scenario emissions</t>
  </si>
  <si>
    <r>
      <t xml:space="preserve">Data from </t>
    </r>
    <r>
      <rPr>
        <b/>
        <i/>
        <sz val="11"/>
        <color rgb="FF2147ED"/>
        <rFont val="Lora"/>
      </rPr>
      <t xml:space="preserve">after </t>
    </r>
    <r>
      <rPr>
        <i/>
        <sz val="11"/>
        <color rgb="FF2147ED"/>
        <rFont val="Lora"/>
      </rPr>
      <t>the solution was implemented</t>
    </r>
  </si>
  <si>
    <r>
      <t>Description of solution scenario:</t>
    </r>
    <r>
      <rPr>
        <sz val="11"/>
        <color rgb="FF000000"/>
        <rFont val="Lora"/>
      </rPr>
      <t xml:space="preserve"> In the solution scenario, computer workloads operate in an IBM LinuxOne Emperor 5 enviroment with 136 cores to achieve more efficient energy consumption.</t>
    </r>
  </si>
  <si>
    <t>Solution Energy Consumption</t>
  </si>
  <si>
    <t>Energy consumption of the whole environment (production and non-production environments) of 136 LinuxOne 5 cores</t>
  </si>
  <si>
    <t>First Order Effects</t>
  </si>
  <si>
    <t>KEY</t>
  </si>
  <si>
    <t>Data input</t>
  </si>
  <si>
    <t>Embodied Emissions</t>
  </si>
  <si>
    <t>Lifecycle Phase</t>
  </si>
  <si>
    <t>Units</t>
  </si>
  <si>
    <t>Emissions</t>
  </si>
  <si>
    <t xml:space="preserve">Comments </t>
  </si>
  <si>
    <t>Source file</t>
  </si>
  <si>
    <t>Manufacturing</t>
  </si>
  <si>
    <t>Provided by IBM. The carbon footprint data was calculated using the online tool: IBM Systems Environment Estimator</t>
  </si>
  <si>
    <t>Carbon footprint of LinuxONE 5 case study system.docx</t>
  </si>
  <si>
    <t>Transportation</t>
  </si>
  <si>
    <t>Use-phase</t>
  </si>
  <si>
    <t>Non-electricity Use-phase</t>
  </si>
  <si>
    <t>This has been calculated by subtracting calculated reference scenario emissions from the overall use-phase emissions as calculated by IBM using the system estimator tool</t>
  </si>
  <si>
    <t xml:space="preserve">End of Life </t>
  </si>
  <si>
    <t>Total System</t>
  </si>
  <si>
    <t>tCO2e</t>
  </si>
  <si>
    <t xml:space="preserve">Grid Region </t>
  </si>
  <si>
    <t>Carbon emission factor electricity grid (kg CO2e/kWh)</t>
  </si>
  <si>
    <t>Comments</t>
  </si>
  <si>
    <t>NYUP</t>
  </si>
  <si>
    <t>New York ISO - NYISO | Electricity Maps</t>
  </si>
  <si>
    <t>The electricity emissions factor source used by IBM in their calculations, the electricity emissions factor is the average for calendar year 2025. 
It calculates a specific regional emissions factor using fleet-level generation data (fuel type, output, heat rates); accounts for electricity import and export; accounts for T&amp;D losses based on regional loss factors; and calculates upstream emissions for specific generation fuel sources using IEA Life-cycle Upstream factors. The carbon intensity figure shown includes:
1. Direct emissions from electricity generation (CO₂, CH₄, N₂O at the power plant)
2. Upstream fuel‑cycle emissions (e.g. fuel extraction, processing, transport)
3. Electricity trade adjustments (imports/exports via flow‑tracing)
4. Transmission &amp; distribution losses, where data is available
Full methodology source file: https://cdn.prod.website-files.com/63c7ac359aace771742ca44e/67dab510ee4e86116ebc1899_Electricity%20Maps%20emission%20factor%20methodology%20-%20Published%20version%2C%2020240319%20%281%29.pdf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</si>
</sst>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0.000"/>
    <numFmt numFmtId="167" formatCode="0.0%"/>
    <numFmt numFmtId="168" formatCode="0.00000"/>
  </numFmts>
  <fonts count="46">
    <font>
      <sz val="11"/>
      <color theme="1"/>
      <name val="Roboto"/>
      <family val="2"/>
      <scheme val="minor"/>
    </font>
    <font>
      <b/>
      <sz val="11"/>
      <color theme="1"/>
      <name val="Roboto"/>
      <family val="2"/>
      <scheme val="minor"/>
    </font>
    <font>
      <sz val="16"/>
      <color theme="4"/>
      <name val="Crimson Pro"/>
    </font>
    <font>
      <sz val="18"/>
      <color theme="3"/>
      <name val="Crimson Pro"/>
    </font>
    <font>
      <b/>
      <sz val="12"/>
      <color theme="3"/>
      <name val="Roboto"/>
      <family val="2"/>
      <scheme val="minor"/>
    </font>
    <font>
      <b/>
      <sz val="11"/>
      <color theme="4"/>
      <name val="Roboto"/>
      <family val="2"/>
      <scheme val="minor"/>
    </font>
    <font>
      <sz val="10"/>
      <name val="Arial"/>
      <family val="2"/>
    </font>
    <font>
      <sz val="8"/>
      <name val="Roboto"/>
      <family val="2"/>
      <scheme val="minor"/>
    </font>
    <font>
      <sz val="11"/>
      <color theme="1"/>
      <name val="Roboto"/>
      <family val="2"/>
      <scheme val="minor"/>
    </font>
    <font>
      <sz val="11"/>
      <color theme="1"/>
      <name val="Roboto"/>
      <scheme val="minor"/>
    </font>
    <font>
      <b/>
      <sz val="11"/>
      <color theme="1"/>
      <name val="Lora"/>
    </font>
    <font>
      <sz val="11"/>
      <color theme="1"/>
      <name val="Lora"/>
    </font>
    <font>
      <b/>
      <sz val="11"/>
      <color theme="0"/>
      <name val="Lora"/>
    </font>
    <font>
      <i/>
      <sz val="11"/>
      <color rgb="FFFF0000"/>
      <name val="Lora"/>
    </font>
    <font>
      <b/>
      <sz val="14"/>
      <color theme="1"/>
      <name val="Lora"/>
    </font>
    <font>
      <sz val="11"/>
      <name val="Lora"/>
    </font>
    <font>
      <sz val="10"/>
      <color theme="1"/>
      <name val="Lora"/>
    </font>
    <font>
      <b/>
      <sz val="10"/>
      <color theme="1"/>
      <name val="Lora"/>
    </font>
    <font>
      <b/>
      <u/>
      <sz val="10"/>
      <color theme="1"/>
      <name val="Lora"/>
    </font>
    <font>
      <sz val="11"/>
      <color theme="1"/>
      <name val="Kigelia Arabic Light"/>
      <family val="2"/>
      <charset val="178"/>
    </font>
    <font>
      <b/>
      <sz val="11"/>
      <color theme="1"/>
      <name val="Kigelia Arabic Light"/>
      <family val="2"/>
      <charset val="178"/>
    </font>
    <font>
      <b/>
      <sz val="11"/>
      <color theme="4"/>
      <name val="Kigelia Arabic Light"/>
      <family val="2"/>
      <charset val="178"/>
    </font>
    <font>
      <b/>
      <u/>
      <sz val="11"/>
      <color theme="1"/>
      <name val="Lora"/>
    </font>
    <font>
      <i/>
      <sz val="11"/>
      <color theme="1"/>
      <name val="Lora"/>
    </font>
    <font>
      <sz val="11"/>
      <color theme="1"/>
      <name val="Kigelia Arabic Light"/>
      <family val="2"/>
    </font>
    <font>
      <sz val="11"/>
      <color rgb="FF242424"/>
      <name val="Aptos Narrow"/>
      <family val="2"/>
    </font>
    <font>
      <sz val="11"/>
      <color rgb="FF000000"/>
      <name val="Lora"/>
    </font>
    <font>
      <u/>
      <sz val="11"/>
      <color theme="10"/>
      <name val="Roboto"/>
      <family val="2"/>
      <scheme val="minor"/>
    </font>
    <font>
      <b/>
      <sz val="14"/>
      <color rgb="FF000000"/>
      <name val="Lora"/>
    </font>
    <font>
      <b/>
      <sz val="11"/>
      <color rgb="FFFFFFFF"/>
      <name val="Lora"/>
    </font>
    <font>
      <b/>
      <sz val="16"/>
      <color rgb="FF000000"/>
      <name val="Lora"/>
    </font>
    <font>
      <b/>
      <sz val="11"/>
      <color rgb="FF000000"/>
      <name val="Lora"/>
    </font>
    <font>
      <sz val="11"/>
      <color theme="1"/>
      <name val="Roboto"/>
    </font>
    <font>
      <i/>
      <sz val="11"/>
      <color rgb="FF2147ED"/>
      <name val="Lora"/>
    </font>
    <font>
      <b/>
      <i/>
      <sz val="11"/>
      <color rgb="FF2147ED"/>
      <name val="Lora"/>
    </font>
    <font>
      <i/>
      <sz val="11"/>
      <color theme="4"/>
      <name val="Lora"/>
    </font>
    <font>
      <b/>
      <sz val="11"/>
      <name val="Lora"/>
    </font>
    <font>
      <sz val="11"/>
      <color theme="1"/>
      <name val="Kigelia Arabic Light"/>
      <family val="2"/>
    </font>
    <font>
      <b/>
      <sz val="11"/>
      <color theme="1"/>
      <name val="Kigelia Arabic Light"/>
      <family val="2"/>
    </font>
    <font>
      <b/>
      <u/>
      <sz val="11"/>
      <color rgb="FF000000"/>
      <name val="Lora"/>
    </font>
    <font>
      <i/>
      <sz val="12"/>
      <color rgb="FFFFFFFF"/>
      <name val="Lora"/>
    </font>
    <font>
      <i/>
      <sz val="11"/>
      <color rgb="FF000000"/>
      <name val="Lora"/>
    </font>
    <font>
      <sz val="11"/>
      <color rgb="FFFF0000"/>
      <name val="Lora"/>
    </font>
    <font>
      <b/>
      <sz val="11"/>
      <color theme="0"/>
      <name val="Roboto"/>
      <scheme val="minor"/>
    </font>
    <font>
      <b/>
      <i/>
      <sz val="11"/>
      <color rgb="FF000000"/>
      <name val="Lora"/>
    </font>
    <font>
      <b/>
      <sz val="9"/>
      <color indexed="81"/>
      <name val="Tahoma"/>
      <family val="2"/>
    </font>
  </fonts>
  <fills count="21">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A6D9F7"/>
        <bgColor indexed="64"/>
      </patternFill>
    </fill>
    <fill>
      <patternFill patternType="solid">
        <fgColor rgb="FFFFFFE1"/>
        <bgColor indexed="64"/>
      </patternFill>
    </fill>
    <fill>
      <patternFill patternType="solid">
        <fgColor theme="3" tint="0.89999084444715716"/>
        <bgColor indexed="64"/>
      </patternFill>
    </fill>
    <fill>
      <patternFill patternType="solid">
        <fgColor theme="0"/>
        <bgColor indexed="64"/>
      </patternFill>
    </fill>
    <fill>
      <patternFill patternType="solid">
        <fgColor rgb="FF000000"/>
        <bgColor rgb="FF000000"/>
      </patternFill>
    </fill>
    <fill>
      <patternFill patternType="solid">
        <fgColor rgb="FFFFFFFF"/>
        <bgColor rgb="FF000000"/>
      </patternFill>
    </fill>
    <fill>
      <patternFill patternType="solid">
        <fgColor rgb="FFCCFFE1"/>
        <bgColor rgb="FF000000"/>
      </patternFill>
    </fill>
    <fill>
      <patternFill patternType="solid">
        <fgColor rgb="FFD1D9FC"/>
        <bgColor rgb="FF000000"/>
      </patternFill>
    </fill>
    <fill>
      <patternFill patternType="solid">
        <fgColor theme="4" tint="0.79998168889431442"/>
        <bgColor indexed="64"/>
      </patternFill>
    </fill>
    <fill>
      <patternFill patternType="solid">
        <fgColor theme="8"/>
        <bgColor indexed="64"/>
      </patternFill>
    </fill>
    <fill>
      <patternFill patternType="solid">
        <fgColor rgb="FF00FF6C"/>
        <bgColor rgb="FF000000"/>
      </patternFill>
    </fill>
    <fill>
      <patternFill patternType="solid">
        <fgColor rgb="FFFFC000"/>
        <bgColor rgb="FF000000"/>
      </patternFill>
    </fill>
    <fill>
      <patternFill patternType="solid">
        <fgColor rgb="FFFFFF00"/>
        <bgColor rgb="FF000000"/>
      </patternFill>
    </fill>
    <fill>
      <patternFill patternType="solid">
        <fgColor rgb="FF366340"/>
        <bgColor rgb="FF000000"/>
      </patternFill>
    </fill>
    <fill>
      <patternFill patternType="solid">
        <fgColor rgb="FFF5F17F"/>
        <bgColor rgb="FF000000"/>
      </patternFill>
    </fill>
    <fill>
      <patternFill patternType="solid">
        <fgColor rgb="FFCCFFE1"/>
        <bgColor indexed="64"/>
      </patternFill>
    </fill>
    <fill>
      <patternFill patternType="solid">
        <fgColor rgb="FFD1D9FC"/>
        <bgColor indexed="64"/>
      </patternFill>
    </fill>
  </fills>
  <borders count="29">
    <border>
      <left/>
      <right/>
      <top/>
      <bottom/>
      <diagonal/>
    </border>
    <border>
      <left/>
      <right/>
      <top/>
      <bottom style="thick">
        <color theme="4" tint="0.499984740745262"/>
      </bottom>
      <diagonal/>
    </border>
    <border>
      <left/>
      <right/>
      <top/>
      <bottom style="thick">
        <color theme="7"/>
      </bottom>
      <diagonal/>
    </border>
    <border>
      <left/>
      <right/>
      <top style="double">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diagonal/>
    </border>
    <border>
      <left style="thin">
        <color indexed="64"/>
      </left>
      <right/>
      <top style="thin">
        <color indexed="64"/>
      </top>
      <bottom/>
      <diagonal/>
    </border>
    <border>
      <left style="thin">
        <color indexed="64"/>
      </left>
      <right style="thin">
        <color indexed="64"/>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rgb="FF000000"/>
      </top>
      <bottom/>
      <diagonal/>
    </border>
  </borders>
  <cellStyleXfs count="11">
    <xf numFmtId="0" fontId="0" fillId="0" borderId="0"/>
    <xf numFmtId="0" fontId="3" fillId="0" borderId="2" applyNumberFormat="0" applyFill="0" applyAlignment="0" applyProtection="0"/>
    <xf numFmtId="0" fontId="2" fillId="0" borderId="1" applyNumberFormat="0" applyFill="0" applyBorder="0" applyAlignment="0" applyProtection="0"/>
    <xf numFmtId="0" fontId="4" fillId="0" borderId="0" applyNumberFormat="0" applyFill="0" applyAlignment="0" applyProtection="0"/>
    <xf numFmtId="0" fontId="5" fillId="0" borderId="0" applyNumberFormat="0" applyFill="0" applyBorder="0" applyAlignment="0" applyProtection="0"/>
    <xf numFmtId="0" fontId="1" fillId="0" borderId="3" applyNumberFormat="0" applyFill="0" applyAlignment="0" applyProtection="0"/>
    <xf numFmtId="0" fontId="6" fillId="0" borderId="0"/>
    <xf numFmtId="9" fontId="8" fillId="0" borderId="0" applyFont="0" applyFill="0" applyBorder="0" applyAlignment="0" applyProtection="0"/>
    <xf numFmtId="164" fontId="8" fillId="0" borderId="0" applyFont="0" applyFill="0" applyBorder="0" applyAlignment="0" applyProtection="0"/>
    <xf numFmtId="0" fontId="27" fillId="0" borderId="0" applyNumberFormat="0" applyFill="0" applyBorder="0" applyAlignment="0" applyProtection="0"/>
    <xf numFmtId="43" fontId="8" fillId="0" borderId="0" applyFont="0" applyFill="0" applyBorder="0" applyAlignment="0" applyProtection="0"/>
  </cellStyleXfs>
  <cellXfs count="214">
    <xf numFmtId="0" fontId="0" fillId="0" borderId="0" xfId="0"/>
    <xf numFmtId="0" fontId="9" fillId="0" borderId="0" xfId="0" applyFont="1"/>
    <xf numFmtId="0" fontId="10" fillId="0" borderId="0" xfId="0" applyFont="1"/>
    <xf numFmtId="0" fontId="11" fillId="0" borderId="0" xfId="0" applyFont="1"/>
    <xf numFmtId="0" fontId="11" fillId="0" borderId="0" xfId="0" applyFont="1" applyAlignment="1">
      <alignment wrapText="1"/>
    </xf>
    <xf numFmtId="0" fontId="11" fillId="0" borderId="4" xfId="0" applyFont="1" applyBorder="1" applyAlignment="1">
      <alignment vertical="center"/>
    </xf>
    <xf numFmtId="0" fontId="11" fillId="0" borderId="4" xfId="0" applyFont="1" applyBorder="1" applyAlignment="1">
      <alignment horizontal="center" vertical="center"/>
    </xf>
    <xf numFmtId="2" fontId="11" fillId="0" borderId="4" xfId="0" applyNumberFormat="1" applyFont="1" applyBorder="1" applyAlignment="1">
      <alignment horizontal="center" vertical="center"/>
    </xf>
    <xf numFmtId="0" fontId="11" fillId="0" borderId="8" xfId="0" applyFont="1" applyBorder="1" applyAlignment="1">
      <alignment vertical="center"/>
    </xf>
    <xf numFmtId="0" fontId="13" fillId="0" borderId="0" xfId="0" applyFont="1"/>
    <xf numFmtId="0" fontId="12" fillId="2" borderId="4" xfId="0" applyFont="1" applyFill="1" applyBorder="1" applyAlignment="1">
      <alignment horizontal="left" wrapText="1"/>
    </xf>
    <xf numFmtId="0" fontId="12" fillId="2" borderId="4" xfId="0" applyFont="1" applyFill="1" applyBorder="1" applyAlignment="1">
      <alignment horizontal="center" wrapText="1"/>
    </xf>
    <xf numFmtId="0" fontId="10"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wrapText="1"/>
    </xf>
    <xf numFmtId="0" fontId="13" fillId="0" borderId="0" xfId="0" applyFont="1" applyAlignment="1">
      <alignment vertical="center"/>
    </xf>
    <xf numFmtId="0" fontId="12" fillId="2" borderId="4" xfId="0" applyFont="1" applyFill="1" applyBorder="1" applyAlignment="1">
      <alignment horizontal="center"/>
    </xf>
    <xf numFmtId="0" fontId="10" fillId="0" borderId="4" xfId="0" applyFont="1" applyBorder="1" applyAlignment="1">
      <alignment vertical="center"/>
    </xf>
    <xf numFmtId="0" fontId="11" fillId="0" borderId="4" xfId="0" applyFont="1" applyBorder="1" applyAlignment="1">
      <alignment horizontal="center"/>
    </xf>
    <xf numFmtId="0" fontId="11" fillId="0" borderId="4" xfId="0" applyFont="1" applyBorder="1"/>
    <xf numFmtId="0" fontId="10" fillId="0" borderId="0" xfId="0" applyFont="1" applyAlignment="1">
      <alignment wrapText="1"/>
    </xf>
    <xf numFmtId="0" fontId="10"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indent="5"/>
    </xf>
    <xf numFmtId="0" fontId="18" fillId="0" borderId="0" xfId="0" applyFont="1" applyAlignment="1">
      <alignment vertical="center" wrapText="1"/>
    </xf>
    <xf numFmtId="0" fontId="11" fillId="0" borderId="0" xfId="0" applyFont="1" applyAlignment="1">
      <alignmen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2" fontId="11" fillId="0" borderId="4" xfId="0" applyNumberFormat="1" applyFont="1" applyBorder="1" applyAlignment="1">
      <alignment horizontal="center"/>
    </xf>
    <xf numFmtId="167" fontId="11" fillId="0" borderId="4" xfId="7" applyNumberFormat="1" applyFont="1" applyBorder="1"/>
    <xf numFmtId="167" fontId="11" fillId="0" borderId="0" xfId="7" applyNumberFormat="1" applyFont="1"/>
    <xf numFmtId="0" fontId="20" fillId="0" borderId="0" xfId="0" applyFont="1"/>
    <xf numFmtId="0" fontId="19" fillId="0" borderId="0" xfId="0" applyFont="1"/>
    <xf numFmtId="0" fontId="19" fillId="0" borderId="6" xfId="0" applyFont="1" applyBorder="1"/>
    <xf numFmtId="0" fontId="21" fillId="0" borderId="0" xfId="4" applyFont="1"/>
    <xf numFmtId="0" fontId="23" fillId="0" borderId="0" xfId="0" applyFont="1"/>
    <xf numFmtId="0" fontId="13" fillId="0" borderId="0" xfId="0" applyFont="1" applyAlignment="1">
      <alignment vertical="center" wrapText="1"/>
    </xf>
    <xf numFmtId="0" fontId="24" fillId="0" borderId="0" xfId="0" applyFont="1"/>
    <xf numFmtId="0" fontId="22" fillId="0" borderId="0" xfId="0" applyFont="1" applyAlignment="1">
      <alignment horizontal="left" wrapText="1"/>
    </xf>
    <xf numFmtId="0" fontId="23" fillId="4" borderId="11" xfId="0" applyFont="1" applyFill="1" applyBorder="1"/>
    <xf numFmtId="165" fontId="11" fillId="0" borderId="13" xfId="0" applyNumberFormat="1" applyFont="1" applyBorder="1" applyAlignment="1">
      <alignment horizontal="center" vertical="center"/>
    </xf>
    <xf numFmtId="0" fontId="26" fillId="0" borderId="13" xfId="0" applyFont="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12" fillId="2" borderId="12" xfId="0" applyFont="1" applyFill="1" applyBorder="1" applyAlignment="1">
      <alignment horizontal="left" vertical="center"/>
    </xf>
    <xf numFmtId="0" fontId="28" fillId="0" borderId="0" xfId="0" applyFont="1"/>
    <xf numFmtId="0" fontId="30" fillId="0" borderId="0" xfId="0" applyFont="1"/>
    <xf numFmtId="0" fontId="29" fillId="8" borderId="0" xfId="0" applyFont="1" applyFill="1" applyAlignment="1">
      <alignment vertical="center"/>
    </xf>
    <xf numFmtId="0" fontId="32" fillId="0" borderId="0" xfId="0" applyFont="1"/>
    <xf numFmtId="0" fontId="10" fillId="0" borderId="0" xfId="0" applyFont="1" applyAlignment="1">
      <alignment horizontal="left" vertical="center" wrapText="1"/>
    </xf>
    <xf numFmtId="0" fontId="35" fillId="0" borderId="0" xfId="0" applyFont="1" applyAlignment="1">
      <alignment horizontal="left" vertical="center" wrapText="1"/>
    </xf>
    <xf numFmtId="0" fontId="36"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10" xfId="0" applyFont="1" applyBorder="1" applyAlignment="1">
      <alignment horizontal="left" vertical="center"/>
    </xf>
    <xf numFmtId="0" fontId="10" fillId="0" borderId="21" xfId="0" applyFont="1" applyBorder="1" applyAlignment="1">
      <alignment horizontal="left" vertical="center"/>
    </xf>
    <xf numFmtId="0" fontId="10" fillId="0" borderId="11" xfId="0" applyFont="1" applyBorder="1" applyAlignment="1">
      <alignment horizontal="left" vertical="center"/>
    </xf>
    <xf numFmtId="0" fontId="11" fillId="12" borderId="8" xfId="0" applyFont="1" applyFill="1" applyBorder="1" applyAlignment="1">
      <alignment horizontal="left" vertical="center"/>
    </xf>
    <xf numFmtId="0" fontId="0" fillId="0" borderId="0" xfId="0" applyAlignment="1">
      <alignment vertical="center"/>
    </xf>
    <xf numFmtId="0" fontId="14" fillId="0" borderId="0" xfId="0" applyFont="1" applyAlignment="1">
      <alignment vertical="center"/>
    </xf>
    <xf numFmtId="0" fontId="11" fillId="0" borderId="15" xfId="0" applyFont="1" applyBorder="1" applyAlignment="1">
      <alignment vertical="center"/>
    </xf>
    <xf numFmtId="0" fontId="10" fillId="0" borderId="0" xfId="0" applyFont="1" applyAlignment="1">
      <alignment vertical="center"/>
    </xf>
    <xf numFmtId="0" fontId="11" fillId="0" borderId="4" xfId="0" applyFont="1" applyBorder="1" applyAlignment="1">
      <alignment horizontal="left" vertical="center"/>
    </xf>
    <xf numFmtId="0" fontId="12" fillId="0" borderId="15" xfId="0" applyFont="1" applyBorder="1" applyAlignment="1">
      <alignment horizontal="left" vertical="center"/>
    </xf>
    <xf numFmtId="0" fontId="11" fillId="0" borderId="15" xfId="0" applyFont="1" applyBorder="1" applyAlignment="1">
      <alignment horizontal="left" vertical="center"/>
    </xf>
    <xf numFmtId="0" fontId="12" fillId="2" borderId="20" xfId="0" applyFont="1" applyFill="1" applyBorder="1" applyAlignment="1">
      <alignment horizontal="left" vertical="center"/>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0" fillId="0" borderId="0" xfId="0" applyFont="1" applyAlignment="1" applyProtection="1">
      <alignment vertical="center"/>
      <protection locked="0"/>
    </xf>
    <xf numFmtId="0" fontId="25" fillId="0" borderId="0" xfId="0" applyFont="1" applyAlignment="1">
      <alignment vertical="center"/>
    </xf>
    <xf numFmtId="2" fontId="11" fillId="0" borderId="0" xfId="0" applyNumberFormat="1" applyFont="1" applyAlignment="1">
      <alignment vertical="center"/>
    </xf>
    <xf numFmtId="2" fontId="11" fillId="0" borderId="15" xfId="0" applyNumberFormat="1" applyFont="1" applyBorder="1" applyAlignment="1">
      <alignment vertical="center"/>
    </xf>
    <xf numFmtId="0" fontId="0" fillId="0" borderId="15" xfId="0" applyBorder="1" applyAlignment="1">
      <alignment vertical="center"/>
    </xf>
    <xf numFmtId="0" fontId="12" fillId="7" borderId="0" xfId="0" applyFont="1" applyFill="1" applyAlignment="1">
      <alignment horizontal="left" vertical="center"/>
    </xf>
    <xf numFmtId="0" fontId="27" fillId="0" borderId="0" xfId="9" applyAlignment="1">
      <alignment vertical="center"/>
    </xf>
    <xf numFmtId="0" fontId="11" fillId="0" borderId="4" xfId="0" applyFont="1" applyBorder="1" applyAlignment="1" applyProtection="1">
      <alignment horizontal="center"/>
      <protection locked="0"/>
    </xf>
    <xf numFmtId="0" fontId="11" fillId="0" borderId="0" xfId="0" applyFont="1" applyAlignment="1">
      <alignment horizontal="center" vertical="center"/>
    </xf>
    <xf numFmtId="2" fontId="11" fillId="0" borderId="0" xfId="0" applyNumberFormat="1" applyFont="1" applyAlignment="1">
      <alignment horizontal="center" vertical="center"/>
    </xf>
    <xf numFmtId="4" fontId="11" fillId="0" borderId="0" xfId="0" applyNumberFormat="1" applyFont="1" applyAlignment="1">
      <alignment horizontal="center" vertical="center"/>
    </xf>
    <xf numFmtId="166" fontId="11" fillId="0" borderId="0" xfId="0" applyNumberFormat="1" applyFont="1" applyAlignment="1">
      <alignment horizontal="center" vertical="center"/>
    </xf>
    <xf numFmtId="0" fontId="28" fillId="0" borderId="0" xfId="0" applyFont="1" applyAlignment="1">
      <alignment horizontal="left" vertical="center"/>
    </xf>
    <xf numFmtId="0" fontId="0" fillId="0" borderId="0" xfId="0" applyAlignment="1">
      <alignment horizontal="left" vertical="center" wrapText="1"/>
    </xf>
    <xf numFmtId="0" fontId="31" fillId="0" borderId="17" xfId="0" applyFont="1" applyBorder="1" applyAlignment="1">
      <alignment horizontal="left" vertical="center"/>
    </xf>
    <xf numFmtId="0" fontId="0" fillId="6" borderId="0" xfId="0" applyFill="1" applyAlignment="1">
      <alignment horizontal="left" vertical="center"/>
    </xf>
    <xf numFmtId="0" fontId="31" fillId="6" borderId="0" xfId="0" applyFont="1" applyFill="1" applyAlignment="1">
      <alignment horizontal="left" vertical="center"/>
    </xf>
    <xf numFmtId="0" fontId="0" fillId="6" borderId="0" xfId="0" applyFill="1" applyAlignment="1">
      <alignment horizontal="left" vertical="center" wrapText="1"/>
    </xf>
    <xf numFmtId="0" fontId="26" fillId="0" borderId="11" xfId="0" applyFont="1" applyBorder="1" applyAlignment="1">
      <alignment horizontal="left" vertical="center"/>
    </xf>
    <xf numFmtId="0" fontId="26" fillId="9" borderId="8" xfId="0" applyFont="1" applyFill="1" applyBorder="1" applyAlignment="1">
      <alignment vertical="center" wrapText="1"/>
    </xf>
    <xf numFmtId="0" fontId="26" fillId="9" borderId="4" xfId="0" applyFont="1" applyFill="1" applyBorder="1" applyAlignment="1">
      <alignment vertical="center" wrapText="1"/>
    </xf>
    <xf numFmtId="0" fontId="26" fillId="14" borderId="4" xfId="0" applyFont="1" applyFill="1" applyBorder="1" applyAlignment="1">
      <alignment horizontal="center" vertical="center"/>
    </xf>
    <xf numFmtId="0" fontId="26" fillId="16" borderId="4" xfId="0" applyFont="1" applyFill="1" applyBorder="1" applyAlignment="1">
      <alignment horizontal="center" vertical="center"/>
    </xf>
    <xf numFmtId="0" fontId="26" fillId="15" borderId="4" xfId="0" applyFont="1" applyFill="1" applyBorder="1" applyAlignment="1">
      <alignment horizontal="center" vertical="center"/>
    </xf>
    <xf numFmtId="0" fontId="26" fillId="10" borderId="18" xfId="0" applyFont="1" applyFill="1" applyBorder="1" applyAlignment="1">
      <alignment horizontal="left" vertical="center"/>
    </xf>
    <xf numFmtId="0" fontId="26" fillId="11" borderId="19" xfId="0" applyFont="1" applyFill="1" applyBorder="1" applyAlignment="1">
      <alignment horizontal="left" vertical="center"/>
    </xf>
    <xf numFmtId="0" fontId="26" fillId="0" borderId="0" xfId="0" applyFont="1"/>
    <xf numFmtId="0" fontId="27" fillId="0" borderId="0" xfId="9"/>
    <xf numFmtId="0" fontId="37" fillId="0" borderId="0" xfId="0" applyFont="1"/>
    <xf numFmtId="0" fontId="38" fillId="0" borderId="0" xfId="0" applyFont="1"/>
    <xf numFmtId="10" fontId="11" fillId="0" borderId="5" xfId="0" applyNumberFormat="1" applyFont="1" applyBorder="1" applyAlignment="1">
      <alignment horizontal="center" vertical="center"/>
    </xf>
    <xf numFmtId="0" fontId="24" fillId="0" borderId="6" xfId="0" applyFont="1" applyBorder="1"/>
    <xf numFmtId="1" fontId="11" fillId="0" borderId="13" xfId="0" applyNumberFormat="1" applyFont="1" applyBorder="1" applyAlignment="1">
      <alignment horizontal="center" vertical="center"/>
    </xf>
    <xf numFmtId="0" fontId="11" fillId="0" borderId="23" xfId="0" applyFont="1" applyBorder="1"/>
    <xf numFmtId="0" fontId="11" fillId="0" borderId="24" xfId="0" applyFont="1" applyBorder="1"/>
    <xf numFmtId="0" fontId="39" fillId="0" borderId="0" xfId="0" applyFont="1"/>
    <xf numFmtId="0" fontId="26" fillId="0" borderId="0" xfId="0" applyFont="1" applyAlignment="1">
      <alignment horizontal="center"/>
    </xf>
    <xf numFmtId="0" fontId="40" fillId="17" borderId="0" xfId="0" applyFont="1" applyFill="1"/>
    <xf numFmtId="0" fontId="26" fillId="0" borderId="4" xfId="0" applyFont="1" applyBorder="1"/>
    <xf numFmtId="3" fontId="26" fillId="18" borderId="4" xfId="0" applyNumberFormat="1" applyFont="1" applyFill="1" applyBorder="1" applyAlignment="1">
      <alignment horizontal="center"/>
    </xf>
    <xf numFmtId="3" fontId="11" fillId="0" borderId="11" xfId="0" applyNumberFormat="1" applyFont="1" applyBorder="1" applyAlignment="1">
      <alignment horizontal="center" vertical="center"/>
    </xf>
    <xf numFmtId="43" fontId="0" fillId="0" borderId="0" xfId="0" applyNumberFormat="1"/>
    <xf numFmtId="43" fontId="11" fillId="12" borderId="8" xfId="10" applyFont="1" applyFill="1" applyBorder="1" applyAlignment="1">
      <alignment horizontal="right" vertical="center"/>
    </xf>
    <xf numFmtId="0" fontId="11" fillId="12" borderId="8" xfId="0" applyFont="1" applyFill="1" applyBorder="1" applyAlignment="1">
      <alignment horizontal="right" vertical="center"/>
    </xf>
    <xf numFmtId="4" fontId="11" fillId="0" borderId="4" xfId="0" applyNumberFormat="1" applyFont="1" applyBorder="1" applyAlignment="1">
      <alignment horizontal="right" vertical="center"/>
    </xf>
    <xf numFmtId="164" fontId="11" fillId="20" borderId="4" xfId="8" applyFont="1" applyFill="1" applyBorder="1"/>
    <xf numFmtId="164" fontId="11" fillId="20" borderId="4" xfId="0" applyNumberFormat="1" applyFont="1" applyFill="1" applyBorder="1"/>
    <xf numFmtId="10" fontId="11" fillId="20" borderId="4" xfId="7" applyNumberFormat="1" applyFont="1" applyFill="1" applyBorder="1"/>
    <xf numFmtId="9" fontId="26" fillId="19" borderId="4" xfId="0" applyNumberFormat="1" applyFont="1" applyFill="1" applyBorder="1"/>
    <xf numFmtId="2" fontId="11" fillId="7" borderId="4" xfId="0" applyNumberFormat="1" applyFont="1" applyFill="1" applyBorder="1" applyAlignment="1">
      <alignment horizontal="center"/>
    </xf>
    <xf numFmtId="0" fontId="11" fillId="20" borderId="4" xfId="0" applyFont="1" applyFill="1" applyBorder="1" applyAlignment="1">
      <alignment horizontal="center" vertical="center"/>
    </xf>
    <xf numFmtId="3" fontId="24" fillId="0" borderId="0" xfId="0" applyNumberFormat="1" applyFont="1"/>
    <xf numFmtId="9" fontId="19" fillId="0" borderId="0" xfId="0" applyNumberFormat="1" applyFont="1"/>
    <xf numFmtId="0" fontId="42" fillId="0" borderId="0" xfId="0" applyFont="1"/>
    <xf numFmtId="0" fontId="31" fillId="0" borderId="4" xfId="0" applyFont="1" applyBorder="1" applyAlignment="1">
      <alignment vertical="center" wrapText="1"/>
    </xf>
    <xf numFmtId="0" fontId="0" fillId="0" borderId="4" xfId="0" applyBorder="1" applyAlignment="1">
      <alignment horizontal="left" vertical="center"/>
    </xf>
    <xf numFmtId="0" fontId="27" fillId="0" borderId="4" xfId="9" applyBorder="1" applyAlignment="1">
      <alignment horizontal="left" vertical="center" wrapText="1"/>
    </xf>
    <xf numFmtId="0" fontId="43" fillId="2" borderId="4" xfId="0" applyFont="1" applyFill="1" applyBorder="1" applyAlignment="1">
      <alignment horizontal="left" vertical="center"/>
    </xf>
    <xf numFmtId="0" fontId="0" fillId="0" borderId="4" xfId="0" applyBorder="1" applyAlignment="1">
      <alignment horizontal="left" vertical="center" wrapText="1"/>
    </xf>
    <xf numFmtId="4" fontId="26" fillId="10" borderId="18" xfId="0" applyNumberFormat="1"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4" xfId="0" applyFont="1" applyFill="1" applyBorder="1" applyAlignment="1">
      <alignment horizontal="left" vertical="center"/>
    </xf>
    <xf numFmtId="0" fontId="26" fillId="9" borderId="0" xfId="0" applyFont="1" applyFill="1" applyAlignment="1">
      <alignment horizontal="left" vertical="center"/>
    </xf>
    <xf numFmtId="0" fontId="15" fillId="0" borderId="0" xfId="0" applyFont="1" applyAlignment="1">
      <alignment horizontal="left" vertical="center"/>
    </xf>
    <xf numFmtId="0" fontId="15" fillId="9" borderId="0" xfId="0" applyFont="1" applyFill="1" applyAlignment="1">
      <alignment horizontal="left" vertical="center"/>
    </xf>
    <xf numFmtId="0" fontId="29" fillId="8" borderId="4" xfId="0" applyFont="1" applyFill="1" applyBorder="1"/>
    <xf numFmtId="0" fontId="26" fillId="9" borderId="4" xfId="0" applyFont="1" applyFill="1" applyBorder="1" applyAlignment="1">
      <alignment horizontal="left" vertical="center"/>
    </xf>
    <xf numFmtId="0" fontId="15" fillId="0" borderId="4" xfId="0" applyFont="1" applyBorder="1" applyAlignment="1">
      <alignment horizontal="left" vertical="center"/>
    </xf>
    <xf numFmtId="49" fontId="0" fillId="0" borderId="4" xfId="0" applyNumberFormat="1" applyBorder="1" applyAlignment="1">
      <alignment horizontal="left" vertical="center" wrapText="1"/>
    </xf>
    <xf numFmtId="1" fontId="11" fillId="0" borderId="0" xfId="0" applyNumberFormat="1" applyFont="1" applyAlignment="1">
      <alignment vertical="center"/>
    </xf>
    <xf numFmtId="0" fontId="12" fillId="2" borderId="4" xfId="0" applyFont="1" applyFill="1" applyBorder="1" applyAlignment="1">
      <alignment horizontal="left" vertical="center"/>
    </xf>
    <xf numFmtId="0" fontId="11" fillId="0" borderId="4" xfId="0" applyFont="1" applyBorder="1" applyAlignment="1">
      <alignment vertical="center" wrapText="1"/>
    </xf>
    <xf numFmtId="0" fontId="11" fillId="0" borderId="11" xfId="0" applyFont="1" applyBorder="1" applyAlignment="1">
      <alignment vertical="center" wrapText="1"/>
    </xf>
    <xf numFmtId="4" fontId="11" fillId="0" borderId="4" xfId="0" applyNumberFormat="1" applyFont="1" applyBorder="1" applyAlignment="1">
      <alignment vertical="center"/>
    </xf>
    <xf numFmtId="2" fontId="11" fillId="0" borderId="0" xfId="0" applyNumberFormat="1" applyFont="1" applyAlignment="1">
      <alignment horizontal="right" vertical="center"/>
    </xf>
    <xf numFmtId="168" fontId="11" fillId="0" borderId="0" xfId="0" applyNumberFormat="1" applyFont="1" applyAlignment="1">
      <alignment horizontal="right" vertical="center"/>
    </xf>
    <xf numFmtId="1" fontId="11" fillId="0" borderId="0" xfId="0" applyNumberFormat="1" applyFont="1" applyAlignment="1">
      <alignment horizontal="right" vertical="center"/>
    </xf>
    <xf numFmtId="0" fontId="23" fillId="4" borderId="14" xfId="0" applyFont="1" applyFill="1" applyBorder="1" applyAlignment="1">
      <alignment horizontal="left" wrapText="1"/>
    </xf>
    <xf numFmtId="0" fontId="11" fillId="0" borderId="4" xfId="0" applyFont="1" applyBorder="1" applyAlignment="1" applyProtection="1">
      <alignment vertical="center"/>
      <protection locked="0"/>
    </xf>
    <xf numFmtId="3" fontId="11" fillId="0" borderId="4" xfId="0" applyNumberFormat="1" applyFont="1" applyBorder="1" applyAlignment="1" applyProtection="1">
      <alignment vertical="center"/>
      <protection locked="0"/>
    </xf>
    <xf numFmtId="0" fontId="11" fillId="0" borderId="0" xfId="0" applyFont="1" applyAlignment="1" applyProtection="1">
      <alignment vertical="center" wrapText="1"/>
      <protection locked="0"/>
    </xf>
    <xf numFmtId="165" fontId="11" fillId="0" borderId="0" xfId="0" applyNumberFormat="1" applyFont="1" applyAlignment="1" applyProtection="1">
      <alignment vertical="center"/>
      <protection locked="0"/>
    </xf>
    <xf numFmtId="0" fontId="11" fillId="0" borderId="4" xfId="0" applyFont="1" applyBorder="1" applyAlignment="1" applyProtection="1">
      <alignment vertical="center" wrapText="1"/>
      <protection locked="0"/>
    </xf>
    <xf numFmtId="4" fontId="11" fillId="0" borderId="4" xfId="0" applyNumberFormat="1" applyFont="1" applyBorder="1" applyAlignment="1" applyProtection="1">
      <alignment vertical="center"/>
      <protection locked="0"/>
    </xf>
    <xf numFmtId="0" fontId="26" fillId="7" borderId="4" xfId="0" applyFont="1" applyFill="1" applyBorder="1" applyAlignment="1">
      <alignment horizontal="left" vertical="center"/>
    </xf>
    <xf numFmtId="0" fontId="26" fillId="0" borderId="4" xfId="0" applyFont="1" applyBorder="1" applyAlignment="1">
      <alignment horizontal="left" vertical="center"/>
    </xf>
    <xf numFmtId="4" fontId="26" fillId="0" borderId="11" xfId="0" applyNumberFormat="1" applyFont="1" applyBorder="1" applyAlignment="1">
      <alignment horizontal="right" vertical="center"/>
    </xf>
    <xf numFmtId="0" fontId="27" fillId="0" borderId="4" xfId="9" applyBorder="1" applyAlignment="1">
      <alignment horizontal="left" vertical="center"/>
    </xf>
    <xf numFmtId="0" fontId="12" fillId="3" borderId="4" xfId="0" applyFont="1" applyFill="1" applyBorder="1" applyAlignment="1">
      <alignment horizontal="center"/>
    </xf>
    <xf numFmtId="0" fontId="12" fillId="3" borderId="4" xfId="0" applyFont="1" applyFill="1" applyBorder="1" applyAlignment="1">
      <alignment horizontal="center" wrapText="1"/>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2" fontId="11" fillId="20" borderId="4" xfId="0" applyNumberFormat="1" applyFont="1" applyFill="1" applyBorder="1" applyAlignment="1">
      <alignment horizontal="center" vertical="center"/>
    </xf>
    <xf numFmtId="4" fontId="11" fillId="20" borderId="4" xfId="0" applyNumberFormat="1" applyFont="1" applyFill="1" applyBorder="1" applyAlignment="1">
      <alignment horizontal="center" vertical="center"/>
    </xf>
    <xf numFmtId="0" fontId="11" fillId="0" borderId="4" xfId="0" applyFont="1" applyBorder="1" applyAlignment="1" applyProtection="1">
      <alignment horizontal="center" wrapText="1"/>
      <protection locked="0"/>
    </xf>
    <xf numFmtId="4" fontId="11" fillId="0" borderId="4" xfId="0" applyNumberFormat="1" applyFont="1" applyBorder="1" applyAlignment="1">
      <alignment horizontal="center" vertical="center"/>
    </xf>
    <xf numFmtId="2" fontId="11" fillId="0" borderId="0" xfId="0" applyNumberFormat="1" applyFont="1" applyAlignment="1">
      <alignment horizontal="center" vertical="center" wrapText="1"/>
    </xf>
    <xf numFmtId="0" fontId="11" fillId="0" borderId="4" xfId="0" applyFont="1" applyBorder="1" applyAlignment="1">
      <alignment wrapText="1"/>
    </xf>
    <xf numFmtId="4" fontId="11" fillId="7" borderId="4" xfId="0" applyNumberFormat="1" applyFont="1" applyFill="1" applyBorder="1" applyAlignment="1">
      <alignment horizontal="center"/>
    </xf>
    <xf numFmtId="4" fontId="11" fillId="0" borderId="11" xfId="0" applyNumberFormat="1" applyFont="1" applyBorder="1" applyAlignment="1">
      <alignment horizontal="center" vertical="center"/>
    </xf>
    <xf numFmtId="4" fontId="19" fillId="0" borderId="0" xfId="0" applyNumberFormat="1" applyFont="1"/>
    <xf numFmtId="9" fontId="11" fillId="0" borderId="0" xfId="7" applyFont="1" applyAlignment="1">
      <alignment horizontal="left" vertical="center"/>
    </xf>
    <xf numFmtId="4" fontId="11" fillId="0" borderId="0" xfId="7" applyNumberFormat="1" applyFont="1" applyAlignment="1">
      <alignment horizontal="left" vertical="center"/>
    </xf>
    <xf numFmtId="4" fontId="11" fillId="0" borderId="0" xfId="0" applyNumberFormat="1" applyFont="1" applyAlignment="1">
      <alignment horizontal="right" vertical="center"/>
    </xf>
    <xf numFmtId="4" fontId="11" fillId="0" borderId="0" xfId="0" applyNumberFormat="1" applyFont="1" applyAlignment="1">
      <alignment horizontal="left" vertical="center"/>
    </xf>
    <xf numFmtId="4" fontId="11" fillId="0" borderId="0" xfId="0" applyNumberFormat="1" applyFont="1" applyAlignment="1">
      <alignment vertical="center"/>
    </xf>
    <xf numFmtId="9" fontId="26" fillId="18" borderId="6" xfId="7" applyFont="1" applyFill="1" applyBorder="1" applyAlignment="1">
      <alignment horizontal="center"/>
    </xf>
    <xf numFmtId="0" fontId="26" fillId="0" borderId="11" xfId="0" applyFont="1" applyBorder="1" applyAlignment="1">
      <alignment horizontal="left" vertical="center" wrapText="1"/>
    </xf>
    <xf numFmtId="2" fontId="11" fillId="0" borderId="11" xfId="0" applyNumberFormat="1" applyFont="1" applyBorder="1" applyAlignment="1">
      <alignment horizontal="center" vertical="center"/>
    </xf>
    <xf numFmtId="3" fontId="26" fillId="0" borderId="11" xfId="0" applyNumberFormat="1" applyFont="1" applyBorder="1" applyAlignment="1">
      <alignment horizontal="center" vertical="center"/>
    </xf>
    <xf numFmtId="4" fontId="26" fillId="18" borderId="4" xfId="0" applyNumberFormat="1" applyFont="1" applyFill="1" applyBorder="1" applyAlignment="1">
      <alignment horizontal="center"/>
    </xf>
    <xf numFmtId="3" fontId="24" fillId="0" borderId="6" xfId="0" applyNumberFormat="1" applyFont="1" applyBorder="1"/>
    <xf numFmtId="9" fontId="11" fillId="0" borderId="4" xfId="7" applyFont="1" applyBorder="1" applyAlignment="1">
      <alignment vertical="center"/>
    </xf>
    <xf numFmtId="0" fontId="0" fillId="0" borderId="0" xfId="0" applyAlignment="1">
      <alignment wrapText="1"/>
    </xf>
    <xf numFmtId="9" fontId="11" fillId="0" borderId="0" xfId="7" applyFont="1" applyAlignment="1">
      <alignment vertical="center"/>
    </xf>
    <xf numFmtId="0" fontId="14" fillId="0" borderId="0" xfId="0" applyFont="1" applyAlignment="1">
      <alignment horizontal="left" wrapText="1"/>
    </xf>
    <xf numFmtId="0" fontId="22" fillId="0" borderId="0" xfId="0" applyFont="1" applyAlignment="1">
      <alignment horizontal="left" wrapText="1"/>
    </xf>
    <xf numFmtId="0" fontId="23" fillId="5" borderId="14" xfId="0" applyFont="1" applyFill="1" applyBorder="1" applyAlignment="1">
      <alignment horizontal="left" vertical="center" wrapText="1"/>
    </xf>
    <xf numFmtId="0" fontId="23" fillId="5" borderId="16"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41" fillId="5" borderId="8" xfId="0" applyFont="1" applyFill="1" applyBorder="1" applyAlignment="1">
      <alignment horizontal="left" vertical="center" wrapText="1"/>
    </xf>
    <xf numFmtId="0" fontId="23" fillId="5" borderId="26" xfId="0" applyFont="1" applyFill="1" applyBorder="1" applyAlignment="1">
      <alignment horizontal="left" vertical="center" wrapText="1"/>
    </xf>
    <xf numFmtId="0" fontId="23" fillId="5" borderId="27" xfId="0" applyFont="1" applyFill="1" applyBorder="1" applyAlignment="1">
      <alignment horizontal="left" vertical="center" wrapText="1"/>
    </xf>
    <xf numFmtId="0" fontId="26" fillId="0" borderId="0" xfId="0" applyFont="1" applyAlignment="1">
      <alignment wrapText="1"/>
    </xf>
    <xf numFmtId="0" fontId="11" fillId="0" borderId="0" xfId="0" applyFont="1" applyAlignment="1">
      <alignment horizontal="center" vertical="center" wrapText="1"/>
    </xf>
    <xf numFmtId="0" fontId="12" fillId="3" borderId="22" xfId="0" applyFont="1" applyFill="1" applyBorder="1" applyAlignment="1">
      <alignment horizontal="center" wrapText="1"/>
    </xf>
    <xf numFmtId="0" fontId="12" fillId="3" borderId="2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1" fillId="0" borderId="0" xfId="0" applyFont="1" applyAlignment="1">
      <alignment horizontal="center" vertical="center"/>
    </xf>
    <xf numFmtId="0" fontId="26" fillId="0" borderId="4"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31" fillId="0" borderId="0" xfId="0" applyFont="1" applyAlignment="1">
      <alignment horizontal="left" vertical="top" wrapText="1"/>
    </xf>
    <xf numFmtId="0" fontId="11" fillId="13" borderId="8" xfId="0" applyFont="1" applyFill="1" applyBorder="1" applyAlignment="1">
      <alignment horizontal="left" vertical="center" wrapText="1"/>
    </xf>
    <xf numFmtId="0" fontId="11" fillId="13" borderId="26" xfId="0" applyFont="1" applyFill="1" applyBorder="1" applyAlignment="1">
      <alignment horizontal="left" vertical="center"/>
    </xf>
    <xf numFmtId="0" fontId="11" fillId="13" borderId="9" xfId="0" applyFont="1" applyFill="1" applyBorder="1" applyAlignment="1">
      <alignment horizontal="left" vertical="center"/>
    </xf>
    <xf numFmtId="0" fontId="10" fillId="0" borderId="0" xfId="0" applyFont="1" applyAlignment="1">
      <alignment horizontal="left" vertical="center" wrapText="1"/>
    </xf>
    <xf numFmtId="0" fontId="33" fillId="0" borderId="0" xfId="0" applyFont="1" applyAlignment="1">
      <alignment horizontal="left" vertical="center" wrapText="1"/>
    </xf>
    <xf numFmtId="0" fontId="35" fillId="0" borderId="0" xfId="0" applyFont="1" applyAlignment="1">
      <alignment horizontal="left" vertical="center" wrapText="1"/>
    </xf>
    <xf numFmtId="0" fontId="26" fillId="0" borderId="0" xfId="0" applyFont="1" applyAlignment="1">
      <alignment horizontal="left" vertical="top" wrapText="1"/>
    </xf>
    <xf numFmtId="0" fontId="11" fillId="0" borderId="0" xfId="0" applyFont="1" applyAlignment="1">
      <alignment horizontal="left" vertical="top" wrapText="1"/>
    </xf>
  </cellXfs>
  <cellStyles count="11">
    <cellStyle name="Comma" xfId="10" builtinId="3"/>
    <cellStyle name="Comma 2" xfId="8" xr:uid="{B2E1072E-885D-4B56-9BA5-C32463F2DFA0}"/>
    <cellStyle name="Heading 1" xfId="1" builtinId="16" customBuiltin="1"/>
    <cellStyle name="Heading 2" xfId="2" builtinId="17" customBuiltin="1"/>
    <cellStyle name="Heading 3" xfId="3" builtinId="18" customBuiltin="1"/>
    <cellStyle name="Heading 4" xfId="4" builtinId="19" customBuiltin="1"/>
    <cellStyle name="Hyperlink" xfId="9" builtinId="8"/>
    <cellStyle name="Normal" xfId="0" builtinId="0"/>
    <cellStyle name="Normal 3" xfId="6" xr:uid="{8EE07C36-4B24-4CA3-AB33-AC611A43C6B7}"/>
    <cellStyle name="Percent" xfId="7" builtinId="5"/>
    <cellStyle name="Total" xfId="5" builtinId="25" customBuiltin="1"/>
  </cellStyles>
  <dxfs count="12">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A6D9F7"/>
      <color rgb="FF283C71"/>
      <color rgb="FF213C72"/>
      <color rgb="FF163E78"/>
      <color rgb="FF183C73"/>
      <color rgb="FF366340"/>
      <color rgb="FFFFFFE1"/>
      <color rgb="FFFFFFCC"/>
      <color rgb="FF003F79"/>
      <color rgb="FFF5F1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carbon savings enabled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126344704149551E-2"/>
          <c:y val="0.10856943766984879"/>
          <c:w val="0.91566686760839977"/>
          <c:h val="0.82358395466053469"/>
        </c:manualLayout>
      </c:layout>
      <c:barChart>
        <c:barDir val="col"/>
        <c:grouping val="clustered"/>
        <c:varyColors val="0"/>
        <c:ser>
          <c:idx val="2"/>
          <c:order val="2"/>
          <c:spPr>
            <a:solidFill>
              <a:schemeClr val="accent3"/>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3-FD4E-433E-B803-376D0DC66E61}"/>
              </c:ext>
            </c:extLst>
          </c:dPt>
          <c:errBars>
            <c:errBarType val="both"/>
            <c:errValType val="cust"/>
            <c:noEndCap val="0"/>
            <c:plus>
              <c:numRef>
                <c:f>'Uncertainty Analysis'!$Q$20</c:f>
                <c:numCache>
                  <c:formatCode>0.00</c:formatCode>
                  <c:ptCount val="1"/>
                  <c:pt idx="0">
                    <c:v>-432.44466482944995</c:v>
                  </c:pt>
                </c:numCache>
              </c:numRef>
            </c:plus>
            <c:minus>
              <c:numRef>
                <c:f>'Uncertainty Analysis'!$R$20</c:f>
                <c:numCache>
                  <c:formatCode>0.00</c:formatCode>
                  <c:ptCount val="1"/>
                  <c:pt idx="0">
                    <c:v>-260.92438257662451</c:v>
                  </c:pt>
                </c:numCache>
              </c:numRef>
            </c:minus>
            <c:spPr>
              <a:noFill/>
              <a:ln w="25400" cap="flat" cmpd="sng" algn="ctr">
                <a:solidFill>
                  <a:srgbClr val="000000"/>
                </a:solidFill>
                <a:prstDash val="solid"/>
                <a:round/>
              </a:ln>
              <a:effectLst/>
            </c:spPr>
          </c:errBars>
          <c:cat>
            <c:strRef>
              <c:f>'Uncertainty Analysis'!$M$19</c:f>
              <c:strCache>
                <c:ptCount val="1"/>
                <c:pt idx="0">
                  <c:v>Total carbon savings enabled (tCO2e)</c:v>
                </c:pt>
              </c:strCache>
            </c:strRef>
          </c:cat>
          <c:val>
            <c:numRef>
              <c:f>'Uncertainty Analysis'!$P$19</c:f>
              <c:numCache>
                <c:formatCode>#,##0.00</c:formatCode>
                <c:ptCount val="1"/>
                <c:pt idx="0">
                  <c:v>-625.27323999999999</c:v>
                </c:pt>
              </c:numCache>
            </c:numRef>
          </c:val>
          <c:extLst>
            <c:ext xmlns:c16="http://schemas.microsoft.com/office/drawing/2014/chart" uri="{C3380CC4-5D6E-409C-BE32-E72D297353CC}">
              <c16:uniqueId val="{00000000-FD4E-433E-B803-376D0DC66E61}"/>
            </c:ext>
          </c:extLst>
        </c:ser>
        <c:dLbls>
          <c:showLegendKey val="0"/>
          <c:showVal val="0"/>
          <c:showCatName val="0"/>
          <c:showSerName val="0"/>
          <c:showPercent val="0"/>
          <c:showBubbleSize val="0"/>
        </c:dLbls>
        <c:gapWidth val="219"/>
        <c:overlap val="-27"/>
        <c:axId val="1313947376"/>
        <c:axId val="1313955056"/>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'Uncertainty Analysis'!$M$19</c15:sqref>
                        </c15:formulaRef>
                      </c:ext>
                    </c:extLst>
                    <c:strCache>
                      <c:ptCount val="1"/>
                      <c:pt idx="0">
                        <c:v>Total carbon savings enabled (tCO2e)</c:v>
                      </c:pt>
                    </c:strCache>
                  </c:strRef>
                </c:cat>
                <c:val>
                  <c:numRef>
                    <c:extLst>
                      <c:ext uri="{02D57815-91ED-43cb-92C2-25804820EDAC}">
                        <c15:formulaRef>
                          <c15:sqref>'Uncertainty Analysis'!$N$19</c15:sqref>
                        </c15:formulaRef>
                      </c:ext>
                    </c:extLst>
                    <c:numCache>
                      <c:formatCode>General</c:formatCode>
                      <c:ptCount val="1"/>
                    </c:numCache>
                  </c:numRef>
                </c:val>
                <c:extLst>
                  <c:ext xmlns:c16="http://schemas.microsoft.com/office/drawing/2014/chart" uri="{C3380CC4-5D6E-409C-BE32-E72D297353CC}">
                    <c16:uniqueId val="{00000001-FD4E-433E-B803-376D0DC66E61}"/>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'Uncertainty Analysis'!$M$19</c15:sqref>
                        </c15:formulaRef>
                      </c:ext>
                    </c:extLst>
                    <c:strCache>
                      <c:ptCount val="1"/>
                      <c:pt idx="0">
                        <c:v>Total carbon savings enabled (tCO2e)</c:v>
                      </c:pt>
                    </c:strCache>
                  </c:strRef>
                </c:cat>
                <c:val>
                  <c:numRef>
                    <c:extLst xmlns:c15="http://schemas.microsoft.com/office/drawing/2012/chart">
                      <c:ext xmlns:c15="http://schemas.microsoft.com/office/drawing/2012/chart" uri="{02D57815-91ED-43cb-92C2-25804820EDAC}">
                        <c15:formulaRef>
                          <c15:sqref>'Uncertainty Analysis'!$O$19</c15:sqref>
                        </c15:formulaRef>
                      </c:ext>
                    </c:extLst>
                    <c:numCache>
                      <c:formatCode>General</c:formatCode>
                      <c:ptCount val="1"/>
                    </c:numCache>
                  </c:numRef>
                </c:val>
                <c:extLst xmlns:c15="http://schemas.microsoft.com/office/drawing/2012/chart">
                  <c:ext xmlns:c16="http://schemas.microsoft.com/office/drawing/2014/chart" uri="{C3380CC4-5D6E-409C-BE32-E72D297353CC}">
                    <c16:uniqueId val="{00000002-FD4E-433E-B803-376D0DC66E61}"/>
                  </c:ext>
                </c:extLst>
              </c15:ser>
            </c15:filteredBarSeries>
          </c:ext>
        </c:extLst>
      </c:barChart>
      <c:catAx>
        <c:axId val="1313947376"/>
        <c:scaling>
          <c:orientation val="minMax"/>
        </c:scaling>
        <c:delete val="1"/>
        <c:axPos val="b"/>
        <c:numFmt formatCode="General" sourceLinked="1"/>
        <c:majorTickMark val="none"/>
        <c:minorTickMark val="none"/>
        <c:tickLblPos val="nextTo"/>
        <c:crossAx val="1313955056"/>
        <c:crosses val="autoZero"/>
        <c:auto val="1"/>
        <c:lblAlgn val="ctr"/>
        <c:lblOffset val="100"/>
        <c:noMultiLvlLbl val="0"/>
      </c:catAx>
      <c:valAx>
        <c:axId val="13139550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3947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'Uncertainty Analysis'!$M$19:$O$19</c:f>
          <c:strCache>
            <c:ptCount val="3"/>
            <c:pt idx="0">
              <c:v>Total carbon savings enabled (tCO2e)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2"/>
          <c:spPr>
            <a:solidFill>
              <a:schemeClr val="accent1"/>
            </a:solidFill>
            <a:ln>
              <a:noFill/>
            </a:ln>
            <a:effectLst/>
          </c:spPr>
          <c:invertIfNegative val="0"/>
          <c:errBars>
            <c:errBarType val="both"/>
            <c:errValType val="cust"/>
            <c:noEndCap val="0"/>
            <c:plus>
              <c:numRef>
                <c:f>'Uncertainty Analysis'!$R$20</c:f>
                <c:numCache>
                  <c:formatCode>0.00</c:formatCode>
                  <c:ptCount val="1"/>
                  <c:pt idx="0">
                    <c:v>-260.92438257662451</c:v>
                  </c:pt>
                </c:numCache>
              </c:numRef>
            </c:plus>
            <c:minus>
              <c:numRef>
                <c:f>'Uncertainty Analysis'!$Q$20</c:f>
                <c:numCache>
                  <c:formatCode>0.00</c:formatCode>
                  <c:ptCount val="1"/>
                  <c:pt idx="0">
                    <c:v>-432.44466482944995</c:v>
                  </c:pt>
                </c:numCache>
              </c:numRef>
            </c:minus>
            <c:spPr>
              <a:noFill/>
              <a:ln w="15875" cap="flat" cmpd="sng" algn="ctr">
                <a:solidFill>
                  <a:schemeClr val="accent3"/>
                </a:solidFill>
                <a:round/>
              </a:ln>
              <a:effectLst/>
            </c:spPr>
          </c:errBars>
          <c:cat>
            <c:strRef>
              <c:f>'Uncertainty Analysis'!$M$19</c:f>
              <c:strCache>
                <c:ptCount val="1"/>
                <c:pt idx="0">
                  <c:v>Total carbon savings enabled (tCO2e)</c:v>
                </c:pt>
              </c:strCache>
            </c:strRef>
          </c:cat>
          <c:val>
            <c:numRef>
              <c:f>'Uncertainty Analysis'!$P$19</c:f>
              <c:numCache>
                <c:formatCode>#,##0.00</c:formatCode>
                <c:ptCount val="1"/>
                <c:pt idx="0">
                  <c:v>-625.27323999999999</c:v>
                </c:pt>
              </c:numCache>
            </c:numRef>
          </c:val>
          <c:extLst>
            <c:ext xmlns:c16="http://schemas.microsoft.com/office/drawing/2014/chart" uri="{C3380CC4-5D6E-409C-BE32-E72D297353CC}">
              <c16:uniqueId val="{00000002-18BF-4720-90B6-30F329353981}"/>
            </c:ext>
          </c:extLst>
        </c:ser>
        <c:dLbls>
          <c:showLegendKey val="0"/>
          <c:showVal val="0"/>
          <c:showCatName val="0"/>
          <c:showSerName val="0"/>
          <c:showPercent val="0"/>
          <c:showBubbleSize val="0"/>
        </c:dLbls>
        <c:gapWidth val="219"/>
        <c:overlap val="-27"/>
        <c:axId val="1753389136"/>
        <c:axId val="1753396816"/>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'Uncertainty Analysis'!$M$19</c15:sqref>
                        </c15:formulaRef>
                      </c:ext>
                    </c:extLst>
                    <c:strCache>
                      <c:ptCount val="1"/>
                      <c:pt idx="0">
                        <c:v>Total carbon savings enabled (tCO2e)</c:v>
                      </c:pt>
                    </c:strCache>
                  </c:strRef>
                </c:cat>
                <c:val>
                  <c:numRef>
                    <c:extLst>
                      <c:ext uri="{02D57815-91ED-43cb-92C2-25804820EDAC}">
                        <c15:formulaRef>
                          <c15:sqref>'Uncertainty Analysis'!$N$19</c15:sqref>
                        </c15:formulaRef>
                      </c:ext>
                    </c:extLst>
                    <c:numCache>
                      <c:formatCode>General</c:formatCode>
                      <c:ptCount val="1"/>
                    </c:numCache>
                  </c:numRef>
                </c:val>
                <c:extLst>
                  <c:ext xmlns:c16="http://schemas.microsoft.com/office/drawing/2014/chart" uri="{C3380CC4-5D6E-409C-BE32-E72D297353CC}">
                    <c16:uniqueId val="{00000000-18BF-4720-90B6-30F329353981}"/>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'Uncertainty Analysis'!$M$19</c15:sqref>
                        </c15:formulaRef>
                      </c:ext>
                    </c:extLst>
                    <c:strCache>
                      <c:ptCount val="1"/>
                      <c:pt idx="0">
                        <c:v>Total carbon savings enabled (tCO2e)</c:v>
                      </c:pt>
                    </c:strCache>
                  </c:strRef>
                </c:cat>
                <c:val>
                  <c:numRef>
                    <c:extLst xmlns:c15="http://schemas.microsoft.com/office/drawing/2012/chart">
                      <c:ext xmlns:c15="http://schemas.microsoft.com/office/drawing/2012/chart" uri="{02D57815-91ED-43cb-92C2-25804820EDAC}">
                        <c15:formulaRef>
                          <c15:sqref>'Uncertainty Analysis'!$O$19</c15:sqref>
                        </c15:formulaRef>
                      </c:ext>
                    </c:extLst>
                    <c:numCache>
                      <c:formatCode>General</c:formatCode>
                      <c:ptCount val="1"/>
                    </c:numCache>
                  </c:numRef>
                </c:val>
                <c:extLst xmlns:c15="http://schemas.microsoft.com/office/drawing/2012/chart">
                  <c:ext xmlns:c16="http://schemas.microsoft.com/office/drawing/2014/chart" uri="{C3380CC4-5D6E-409C-BE32-E72D297353CC}">
                    <c16:uniqueId val="{00000001-18BF-4720-90B6-30F329353981}"/>
                  </c:ext>
                </c:extLst>
              </c15:ser>
            </c15:filteredBarSeries>
          </c:ext>
        </c:extLst>
      </c:barChart>
      <c:catAx>
        <c:axId val="1753389136"/>
        <c:scaling>
          <c:orientation val="minMax"/>
        </c:scaling>
        <c:delete val="1"/>
        <c:axPos val="b"/>
        <c:numFmt formatCode="General" sourceLinked="1"/>
        <c:majorTickMark val="none"/>
        <c:minorTickMark val="none"/>
        <c:tickLblPos val="nextTo"/>
        <c:crossAx val="1753396816"/>
        <c:crosses val="autoZero"/>
        <c:auto val="1"/>
        <c:lblAlgn val="ctr"/>
        <c:lblOffset val="100"/>
        <c:noMultiLvlLbl val="0"/>
      </c:catAx>
      <c:valAx>
        <c:axId val="1753396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3389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183C73"/>
            </a:solidFill>
            <a:ln>
              <a:noFill/>
            </a:ln>
            <a:effectLst/>
          </c:spPr>
          <c:invertIfNegative val="0"/>
          <c:cat>
            <c:strRef>
              <c:f>'Sensitivity Analysis'!$O$6:$O$9</c:f>
              <c:strCache>
                <c:ptCount val="4"/>
                <c:pt idx="0">
                  <c:v>IBM LinuxOne LCA activity data +5%/-5%</c:v>
                </c:pt>
                <c:pt idx="1">
                  <c:v>x86 server energy consumption activity data +5%/-5%</c:v>
                </c:pt>
                <c:pt idx="2">
                  <c:v>IBM LinuxOne Energy Consumption activity data +5%/-5%</c:v>
                </c:pt>
                <c:pt idx="3">
                  <c:v>Grid Emissions Factor emission factor +5%/-5%</c:v>
                </c:pt>
              </c:strCache>
            </c:strRef>
          </c:cat>
          <c:val>
            <c:numRef>
              <c:f>'Sensitivity Analysis'!$M$6:$M$9</c:f>
              <c:numCache>
                <c:formatCode>0.00%</c:formatCode>
                <c:ptCount val="4"/>
                <c:pt idx="0">
                  <c:v>7.6349615268168783E-3</c:v>
                </c:pt>
                <c:pt idx="1">
                  <c:v>-6.231066953716622E-2</c:v>
                </c:pt>
                <c:pt idx="2">
                  <c:v>5.4207664085227439E-3</c:v>
                </c:pt>
                <c:pt idx="3">
                  <c:v>-5.6889903128643476E-2</c:v>
                </c:pt>
              </c:numCache>
            </c:numRef>
          </c:val>
          <c:extLst>
            <c:ext xmlns:c16="http://schemas.microsoft.com/office/drawing/2014/chart" uri="{C3380CC4-5D6E-409C-BE32-E72D297353CC}">
              <c16:uniqueId val="{00000000-BF8A-4264-860E-63D8CABFC2A5}"/>
            </c:ext>
          </c:extLst>
        </c:ser>
        <c:ser>
          <c:idx val="1"/>
          <c:order val="1"/>
          <c:spPr>
            <a:solidFill>
              <a:srgbClr val="A6D9F7"/>
            </a:solidFill>
            <a:ln>
              <a:noFill/>
            </a:ln>
            <a:effectLst/>
          </c:spPr>
          <c:invertIfNegative val="0"/>
          <c:cat>
            <c:strRef>
              <c:f>'Sensitivity Analysis'!$O$6:$O$9</c:f>
              <c:strCache>
                <c:ptCount val="4"/>
                <c:pt idx="0">
                  <c:v>IBM LinuxOne LCA activity data +5%/-5%</c:v>
                </c:pt>
                <c:pt idx="1">
                  <c:v>x86 server energy consumption activity data +5%/-5%</c:v>
                </c:pt>
                <c:pt idx="2">
                  <c:v>IBM LinuxOne Energy Consumption activity data +5%/-5%</c:v>
                </c:pt>
                <c:pt idx="3">
                  <c:v>Grid Emissions Factor emission factor +5%/-5%</c:v>
                </c:pt>
              </c:strCache>
            </c:strRef>
          </c:cat>
          <c:val>
            <c:numRef>
              <c:f>'Sensitivity Analysis'!$N$6:$N$9</c:f>
              <c:numCache>
                <c:formatCode>0.00%</c:formatCode>
                <c:ptCount val="4"/>
                <c:pt idx="0">
                  <c:v>-6.0664175306623085E-3</c:v>
                </c:pt>
                <c:pt idx="1">
                  <c:v>6.231066953716622E-2</c:v>
                </c:pt>
                <c:pt idx="2">
                  <c:v>-5.4207664085227439E-3</c:v>
                </c:pt>
                <c:pt idx="3">
                  <c:v>5.6889903128643476E-2</c:v>
                </c:pt>
              </c:numCache>
            </c:numRef>
          </c:val>
          <c:extLst>
            <c:ext xmlns:c16="http://schemas.microsoft.com/office/drawing/2014/chart" uri="{C3380CC4-5D6E-409C-BE32-E72D297353CC}">
              <c16:uniqueId val="{00000001-BF8A-4264-860E-63D8CABFC2A5}"/>
            </c:ext>
          </c:extLst>
        </c:ser>
        <c:dLbls>
          <c:showLegendKey val="0"/>
          <c:showVal val="0"/>
          <c:showCatName val="0"/>
          <c:showSerName val="0"/>
          <c:showPercent val="0"/>
          <c:showBubbleSize val="0"/>
        </c:dLbls>
        <c:gapWidth val="182"/>
        <c:axId val="850914463"/>
        <c:axId val="618690351"/>
      </c:barChart>
      <c:catAx>
        <c:axId val="85091446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0</xdr:rowOff>
    </xdr:from>
    <xdr:to>
      <xdr:col>3</xdr:col>
      <xdr:colOff>723900</xdr:colOff>
      <xdr:row>67</xdr:row>
      <xdr:rowOff>19050</xdr:rowOff>
    </xdr:to>
    <xdr:graphicFrame macro="">
      <xdr:nvGraphicFramePr>
        <xdr:cNvPr id="3" name="Chart 2">
          <a:extLst>
            <a:ext uri="{FF2B5EF4-FFF2-40B4-BE49-F238E27FC236}">
              <a16:creationId xmlns:a16="http://schemas.microsoft.com/office/drawing/2014/main" id="{7077464B-2520-462F-AAB5-1FE594385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1360487</xdr:colOff>
      <xdr:row>9</xdr:row>
      <xdr:rowOff>36512</xdr:rowOff>
    </xdr:from>
    <xdr:to>
      <xdr:col>24</xdr:col>
      <xdr:colOff>363537</xdr:colOff>
      <xdr:row>16</xdr:row>
      <xdr:rowOff>1039812</xdr:rowOff>
    </xdr:to>
    <xdr:graphicFrame macro="">
      <xdr:nvGraphicFramePr>
        <xdr:cNvPr id="2" name="Chart 1">
          <a:extLst>
            <a:ext uri="{FF2B5EF4-FFF2-40B4-BE49-F238E27FC236}">
              <a16:creationId xmlns:a16="http://schemas.microsoft.com/office/drawing/2014/main" id="{147B760D-A85B-4208-2F20-88CD9A885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624840</xdr:colOff>
      <xdr:row>10</xdr:row>
      <xdr:rowOff>95250</xdr:rowOff>
    </xdr:from>
    <xdr:to>
      <xdr:col>7</xdr:col>
      <xdr:colOff>895350</xdr:colOff>
      <xdr:row>33</xdr:row>
      <xdr:rowOff>7620</xdr:rowOff>
    </xdr:to>
    <xdr:graphicFrame macro="">
      <xdr:nvGraphicFramePr>
        <xdr:cNvPr id="2" name="Chart 1">
          <a:extLst>
            <a:ext uri="{FF2B5EF4-FFF2-40B4-BE49-F238E27FC236}">
              <a16:creationId xmlns:a16="http://schemas.microsoft.com/office/drawing/2014/main" id="{FE915D73-5D5E-4353-8C83-557BBF92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arbon Trust 1">
      <a:dk1>
        <a:srgbClr val="000000"/>
      </a:dk1>
      <a:lt1>
        <a:srgbClr val="FFFFFF"/>
      </a:lt1>
      <a:dk2>
        <a:srgbClr val="1D192B"/>
      </a:dk2>
      <a:lt2>
        <a:srgbClr val="00A7FF"/>
      </a:lt2>
      <a:accent1>
        <a:srgbClr val="2147ED"/>
      </a:accent1>
      <a:accent2>
        <a:srgbClr val="00FF6C"/>
      </a:accent2>
      <a:accent3>
        <a:srgbClr val="C724B1"/>
      </a:accent3>
      <a:accent4>
        <a:srgbClr val="00007F"/>
      </a:accent4>
      <a:accent5>
        <a:srgbClr val="D6D6D4"/>
      </a:accent5>
      <a:accent6>
        <a:srgbClr val="71FFFF"/>
      </a:accent6>
      <a:hlink>
        <a:srgbClr val="00007F"/>
      </a:hlink>
      <a:folHlink>
        <a:srgbClr val="A7B8F5"/>
      </a:folHlink>
    </a:clrScheme>
    <a:fontScheme name="Carbon Trust 1">
      <a:majorFont>
        <a:latin typeface="Arial"/>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ibm.com/it-infrastructure/resources/systems-environment-estimator/" TargetMode="External"/><Relationship Id="rId2" Type="http://schemas.openxmlformats.org/officeDocument/2006/relationships/hyperlink" Target="https://www.ibm.com/it-infrastructure/resources/systems-environment-estimator/" TargetMode="External"/><Relationship Id="rId1" Type="http://schemas.openxmlformats.org/officeDocument/2006/relationships/hyperlink" Target="https://www.ibm.com/it-infrastructure/resources/systems-environment-estimator/" TargetMode="External"/><Relationship Id="rId5" Type="http://schemas.openxmlformats.org/officeDocument/2006/relationships/hyperlink" Target="https://www.ibm.com/it-infrastructure/resources/systems-environment-estimator/" TargetMode="External"/><Relationship Id="rId4" Type="http://schemas.openxmlformats.org/officeDocument/2006/relationships/hyperlink" Target="https://www.ibm.com/it-infrastructure/resources/systems-environment-estimato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app.electricitymaps.com/map/zone/US-NY-NYIS/5y/year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675-5F34-4A3C-87D5-8B49D1EFDB8E}">
  <sheetPr>
    <tabColor rgb="FFF5F17F"/>
  </sheetPr>
  <dimension ref="B2:B22"/>
  <sheetViews>
    <sheetView workbookViewId="0"/>
  </sheetViews>
  <sheetFormatPr defaultColWidth="8.75" defaultRowHeight="19.5"/>
  <cols>
    <col min="1" max="1" width="4.25" style="3" customWidth="1"/>
    <col min="2" max="2" width="155.875" style="4" customWidth="1"/>
    <col min="3" max="16384" width="8.75" style="3"/>
  </cols>
  <sheetData>
    <row r="2" spans="2:2">
      <c r="B2" s="20" t="s">
        <v>0</v>
      </c>
    </row>
    <row r="3" spans="2:2">
      <c r="B3" s="21"/>
    </row>
    <row r="4" spans="2:2" ht="36">
      <c r="B4" s="22" t="s">
        <v>1</v>
      </c>
    </row>
    <row r="5" spans="2:2">
      <c r="B5" s="22"/>
    </row>
    <row r="6" spans="2:2">
      <c r="B6" s="24" t="s">
        <v>2</v>
      </c>
    </row>
    <row r="7" spans="2:2">
      <c r="B7" s="22" t="s">
        <v>3</v>
      </c>
    </row>
    <row r="8" spans="2:2" ht="36">
      <c r="B8" s="23" t="s">
        <v>4</v>
      </c>
    </row>
    <row r="9" spans="2:2" ht="36">
      <c r="B9" s="23" t="s">
        <v>5</v>
      </c>
    </row>
    <row r="10" spans="2:2" ht="36">
      <c r="B10" s="23" t="s">
        <v>6</v>
      </c>
    </row>
    <row r="11" spans="2:2">
      <c r="B11" s="24" t="s">
        <v>7</v>
      </c>
    </row>
    <row r="12" spans="2:2" ht="36">
      <c r="B12" s="22" t="s">
        <v>8</v>
      </c>
    </row>
    <row r="13" spans="2:2" ht="36">
      <c r="B13" s="22" t="s">
        <v>9</v>
      </c>
    </row>
    <row r="14" spans="2:2">
      <c r="B14" s="24" t="s">
        <v>10</v>
      </c>
    </row>
    <row r="15" spans="2:2" ht="54">
      <c r="B15" s="22" t="s">
        <v>11</v>
      </c>
    </row>
    <row r="16" spans="2:2">
      <c r="B16" s="24" t="s">
        <v>12</v>
      </c>
    </row>
    <row r="17" spans="2:2">
      <c r="B17" s="22" t="s">
        <v>13</v>
      </c>
    </row>
    <row r="18" spans="2:2">
      <c r="B18" s="22" t="s">
        <v>14</v>
      </c>
    </row>
    <row r="19" spans="2:2">
      <c r="B19" s="22" t="s">
        <v>15</v>
      </c>
    </row>
    <row r="20" spans="2:2" ht="36">
      <c r="B20" s="22" t="s">
        <v>16</v>
      </c>
    </row>
    <row r="21" spans="2:2">
      <c r="B21" s="22"/>
    </row>
    <row r="22" spans="2:2" ht="54">
      <c r="B22" s="22"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7FD3-668E-48B1-A7D3-0ED4FC912915}">
  <sheetPr>
    <tabColor rgb="FF366340"/>
  </sheetPr>
  <dimension ref="A1:L49"/>
  <sheetViews>
    <sheetView tabSelected="1" workbookViewId="0">
      <selection activeCell="B10" sqref="B10:E10"/>
    </sheetView>
  </sheetViews>
  <sheetFormatPr defaultColWidth="8.75" defaultRowHeight="24.75"/>
  <cols>
    <col min="1" max="1" width="8.75" style="32" customWidth="1"/>
    <col min="2" max="2" width="84" style="32" customWidth="1"/>
    <col min="3" max="3" width="22" style="32" customWidth="1"/>
    <col min="4" max="4" width="27.125" style="32" customWidth="1"/>
    <col min="5" max="5" width="71.625" style="32" customWidth="1"/>
    <col min="6" max="7" width="8.75" style="32" customWidth="1"/>
    <col min="8" max="8" width="62.875" style="32" customWidth="1"/>
    <col min="9" max="11" width="8.75" style="32"/>
    <col min="12" max="12" width="8.75" style="32" customWidth="1"/>
    <col min="13" max="16384" width="8.75" style="32"/>
  </cols>
  <sheetData>
    <row r="1" spans="2:6" ht="9.75" customHeight="1"/>
    <row r="2" spans="2:6" ht="27">
      <c r="B2" s="184" t="s">
        <v>18</v>
      </c>
      <c r="C2" s="184"/>
      <c r="D2" s="184"/>
      <c r="E2" s="184"/>
    </row>
    <row r="3" spans="2:6" ht="87" customHeight="1">
      <c r="B3" s="189" t="s">
        <v>19</v>
      </c>
      <c r="C3" s="190"/>
      <c r="D3" s="190"/>
      <c r="E3" s="191"/>
    </row>
    <row r="4" spans="2:6" ht="11.25" customHeight="1">
      <c r="B4" s="100"/>
      <c r="C4" s="33"/>
      <c r="D4" s="33"/>
      <c r="E4" s="100"/>
      <c r="F4" s="34"/>
    </row>
    <row r="5" spans="2:6" ht="11.25" customHeight="1"/>
    <row r="6" spans="2:6" ht="27">
      <c r="B6" s="184" t="s">
        <v>20</v>
      </c>
      <c r="C6" s="184"/>
      <c r="D6" s="184"/>
      <c r="E6" s="184"/>
    </row>
    <row r="7" spans="2:6">
      <c r="B7" s="185" t="s">
        <v>21</v>
      </c>
      <c r="C7" s="185"/>
      <c r="D7" s="185"/>
      <c r="E7" s="185"/>
    </row>
    <row r="8" spans="2:6" ht="40.35" customHeight="1">
      <c r="B8" s="186" t="s">
        <v>22</v>
      </c>
      <c r="C8" s="187"/>
      <c r="D8" s="187"/>
      <c r="E8" s="188"/>
    </row>
    <row r="9" spans="2:6" ht="33" customHeight="1">
      <c r="B9" s="185" t="s">
        <v>23</v>
      </c>
      <c r="C9" s="185"/>
      <c r="D9" s="185"/>
      <c r="E9" s="185"/>
    </row>
    <row r="10" spans="2:6" ht="31.7" customHeight="1">
      <c r="B10" s="186" t="s">
        <v>24</v>
      </c>
      <c r="C10" s="187"/>
      <c r="D10" s="187"/>
      <c r="E10" s="188"/>
    </row>
    <row r="11" spans="2:6" ht="30" customHeight="1">
      <c r="B11" s="185" t="s">
        <v>25</v>
      </c>
      <c r="C11" s="185"/>
      <c r="D11" s="185"/>
      <c r="E11" s="185"/>
    </row>
    <row r="12" spans="2:6" ht="24.75" customHeight="1">
      <c r="B12" s="186" t="s">
        <v>26</v>
      </c>
      <c r="C12" s="187"/>
      <c r="D12" s="187"/>
      <c r="E12" s="188"/>
    </row>
    <row r="13" spans="2:6">
      <c r="B13" s="100"/>
      <c r="C13" s="100"/>
      <c r="D13" s="100"/>
      <c r="E13" s="100"/>
      <c r="F13" s="34"/>
    </row>
    <row r="14" spans="2:6" ht="27">
      <c r="B14" s="184" t="s">
        <v>27</v>
      </c>
      <c r="C14" s="184"/>
      <c r="D14" s="184"/>
      <c r="E14" s="184"/>
    </row>
    <row r="15" spans="2:6" ht="10.5" customHeight="1">
      <c r="B15" s="1"/>
    </row>
    <row r="16" spans="2:6">
      <c r="B16" s="185" t="s">
        <v>28</v>
      </c>
      <c r="C16" s="185"/>
      <c r="D16" s="185"/>
      <c r="E16" s="185"/>
    </row>
    <row r="17" spans="2:5">
      <c r="B17" s="39" t="s">
        <v>29</v>
      </c>
      <c r="C17" s="40" t="s">
        <v>30</v>
      </c>
      <c r="D17" s="38"/>
      <c r="E17" s="38"/>
    </row>
    <row r="18" spans="2:5" ht="24" customHeight="1">
      <c r="B18" s="39" t="s">
        <v>31</v>
      </c>
      <c r="C18" s="41" t="s">
        <v>32</v>
      </c>
      <c r="D18" s="35"/>
      <c r="E18" s="169"/>
    </row>
    <row r="19" spans="2:5">
      <c r="B19" s="39" t="s">
        <v>33</v>
      </c>
      <c r="C19" s="101">
        <f>Backend!E6</f>
        <v>5</v>
      </c>
      <c r="D19" s="35"/>
    </row>
    <row r="20" spans="2:5" ht="10.5" customHeight="1">
      <c r="B20" s="38"/>
      <c r="C20" s="38"/>
      <c r="D20" s="38"/>
      <c r="E20" s="38"/>
    </row>
    <row r="21" spans="2:5" ht="24.75" customHeight="1">
      <c r="B21" s="184" t="s">
        <v>34</v>
      </c>
      <c r="C21" s="184"/>
      <c r="D21" s="184"/>
      <c r="E21" s="184"/>
    </row>
    <row r="22" spans="2:5">
      <c r="B22" s="185" t="s">
        <v>35</v>
      </c>
      <c r="C22" s="185"/>
      <c r="D22" s="185"/>
      <c r="E22" s="185"/>
    </row>
    <row r="23" spans="2:5">
      <c r="B23" s="38"/>
      <c r="C23" s="38"/>
      <c r="D23" s="38"/>
      <c r="E23" s="38"/>
    </row>
    <row r="24" spans="2:5" ht="42.75">
      <c r="B24" s="146" t="str">
        <f>_xlfn.CONCAT(Backend!B4,"-",Backend!D4)</f>
        <v>Baseline Annual Electricity Consumption (production &amp; Non-production environments) - measured -kWh/year</v>
      </c>
      <c r="C24" s="178">
        <f>Backend!E4</f>
        <v>495932</v>
      </c>
      <c r="D24" s="35"/>
    </row>
    <row r="25" spans="2:5" ht="42.75">
      <c r="B25" s="146" t="str">
        <f>_xlfn.CONCAT(Backend!B5,"-",Backend!D5)</f>
        <v>Scenario Annual Electricity Consumption (production &amp; Non-production environments) - measured -kWh/year</v>
      </c>
      <c r="C25" s="178">
        <f>Backend!E5</f>
        <v>43144</v>
      </c>
      <c r="D25" s="35"/>
    </row>
    <row r="27" spans="2:5">
      <c r="B27" s="104" t="s">
        <v>36</v>
      </c>
    </row>
    <row r="28" spans="2:5">
      <c r="B28" s="95"/>
      <c r="C28" s="105" t="s">
        <v>37</v>
      </c>
      <c r="D28" s="105" t="s">
        <v>38</v>
      </c>
    </row>
    <row r="29" spans="2:5">
      <c r="B29" s="106" t="str">
        <f>Backend!B14</f>
        <v>Grid Emissions Factor (kgCO2e/kWh)</v>
      </c>
      <c r="C29" s="179">
        <f>'Emission Factors'!D5</f>
        <v>0.314</v>
      </c>
      <c r="D29" s="107"/>
      <c r="E29" s="35"/>
    </row>
    <row r="30" spans="2:5">
      <c r="B30" s="106" t="str">
        <f>Backend!B15</f>
        <v>Manufacturing emissions (kgCO2e)</v>
      </c>
      <c r="C30" s="108">
        <f>'First Order Effects'!D11</f>
        <v>31100</v>
      </c>
      <c r="D30" s="107"/>
      <c r="E30" s="35"/>
    </row>
    <row r="31" spans="2:5">
      <c r="B31" s="106" t="str">
        <f>Backend!B16</f>
        <v>Upstream Transportation emissions (kgCO2e)</v>
      </c>
      <c r="C31" s="108">
        <f>'First Order Effects'!D12</f>
        <v>40</v>
      </c>
      <c r="D31" s="107"/>
      <c r="E31" s="35"/>
    </row>
    <row r="32" spans="2:5">
      <c r="B32" s="106" t="str">
        <f>Backend!B17</f>
        <v>Non-electricity Use-Phase Emissions (kgCO2e)</v>
      </c>
      <c r="C32" s="108">
        <f>'First Order Effects'!D13</f>
        <v>122200</v>
      </c>
      <c r="D32" s="107"/>
      <c r="E32" s="35"/>
    </row>
    <row r="33" spans="1:12">
      <c r="B33" s="106" t="s">
        <v>39</v>
      </c>
      <c r="C33" s="175">
        <v>1</v>
      </c>
      <c r="D33" s="107"/>
      <c r="E33" s="35"/>
    </row>
    <row r="34" spans="1:12">
      <c r="B34" s="33"/>
      <c r="C34" s="33"/>
      <c r="D34" s="33"/>
      <c r="E34" s="33"/>
    </row>
    <row r="36" spans="1:12" ht="53.25" customHeight="1">
      <c r="B36" s="184" t="s">
        <v>40</v>
      </c>
      <c r="C36" s="184"/>
      <c r="D36" s="184"/>
      <c r="E36" s="184"/>
    </row>
    <row r="37" spans="1:12" ht="30" customHeight="1">
      <c r="B37" s="3" t="s">
        <v>41</v>
      </c>
      <c r="C37" s="109">
        <f>Backend!E4</f>
        <v>495932</v>
      </c>
      <c r="D37" s="3" t="s">
        <v>42</v>
      </c>
      <c r="E37" s="120"/>
      <c r="G37" s="98"/>
    </row>
    <row r="38" spans="1:12">
      <c r="B38" s="3" t="s">
        <v>43</v>
      </c>
      <c r="C38" s="109">
        <f>Backend!E5</f>
        <v>43144</v>
      </c>
      <c r="D38" s="3" t="s">
        <v>42</v>
      </c>
      <c r="G38" s="98"/>
    </row>
    <row r="39" spans="1:12">
      <c r="B39" s="3" t="s">
        <v>44</v>
      </c>
      <c r="C39" s="109">
        <f>Backend!E4*Backend!$E$6</f>
        <v>2479660</v>
      </c>
      <c r="D39" s="3" t="s">
        <v>45</v>
      </c>
      <c r="G39" s="98"/>
    </row>
    <row r="40" spans="1:12">
      <c r="B40" s="3" t="s">
        <v>46</v>
      </c>
      <c r="C40" s="109">
        <f>Backend!E5*Backend!$E$6</f>
        <v>215720</v>
      </c>
      <c r="D40" s="3" t="s">
        <v>45</v>
      </c>
      <c r="G40" s="98"/>
    </row>
    <row r="41" spans="1:12">
      <c r="B41" s="3" t="s">
        <v>47</v>
      </c>
      <c r="C41" s="168">
        <f>SUM(Backend!E15:E17)/1000</f>
        <v>85.603920000000002</v>
      </c>
      <c r="D41" s="3" t="s">
        <v>48</v>
      </c>
      <c r="G41" s="98"/>
    </row>
    <row r="42" spans="1:12">
      <c r="B42" s="3" t="s">
        <v>49</v>
      </c>
      <c r="C42" s="99">
        <f>(C40-C39)/C39</f>
        <v>-0.91300420218900979</v>
      </c>
      <c r="D42" s="3" t="s">
        <v>50</v>
      </c>
      <c r="E42" s="35"/>
    </row>
    <row r="43" spans="1:12">
      <c r="B43" s="3" t="s">
        <v>51</v>
      </c>
      <c r="C43" s="177">
        <f>Backend!L27</f>
        <v>-624.78323999999998</v>
      </c>
      <c r="D43" s="3" t="s">
        <v>52</v>
      </c>
      <c r="G43" s="31"/>
    </row>
    <row r="44" spans="1:12">
      <c r="B44" s="3" t="s">
        <v>53</v>
      </c>
      <c r="C44" s="177">
        <f>C43</f>
        <v>-624.78323999999998</v>
      </c>
      <c r="D44" s="3" t="str">
        <f>_xlfn.CONCAT("tCO2e/",B12)</f>
        <v>tCO2e/per delivery of the reference ICT workload to the same service level (SLA) over the study period  </v>
      </c>
      <c r="E44" s="121"/>
      <c r="G44" s="31"/>
    </row>
    <row r="45" spans="1:12" s="97" customFormat="1" ht="10.5" customHeight="1">
      <c r="A45" s="37"/>
      <c r="B45" s="100"/>
      <c r="C45" s="180"/>
      <c r="D45" s="100"/>
      <c r="E45" s="100"/>
      <c r="F45" s="37"/>
      <c r="G45" s="37"/>
      <c r="H45" s="37"/>
      <c r="I45" s="37"/>
      <c r="J45" s="37"/>
      <c r="K45" s="37"/>
      <c r="L45" s="37"/>
    </row>
    <row r="46" spans="1:12" s="97" customFormat="1" ht="10.5" customHeight="1">
      <c r="A46" s="37"/>
      <c r="B46" s="37"/>
      <c r="C46" s="37"/>
      <c r="D46" s="37"/>
      <c r="E46" s="37"/>
      <c r="F46" s="37"/>
      <c r="G46" s="37"/>
      <c r="H46" s="37"/>
      <c r="I46" s="37"/>
      <c r="J46" s="37"/>
      <c r="K46" s="37"/>
      <c r="L46" s="37"/>
    </row>
    <row r="47" spans="1:12" ht="27">
      <c r="B47" s="184" t="s">
        <v>54</v>
      </c>
      <c r="C47" s="184"/>
      <c r="D47" s="184"/>
      <c r="E47" s="184"/>
    </row>
    <row r="48" spans="1:12">
      <c r="B48" s="25" t="s">
        <v>55</v>
      </c>
      <c r="C48" s="7">
        <f>'Uncertainty Analysis'!R19</f>
        <v>-364.34885742337548</v>
      </c>
      <c r="D48" s="3" t="s">
        <v>56</v>
      </c>
    </row>
    <row r="49" spans="2:4">
      <c r="B49" s="25" t="s">
        <v>57</v>
      </c>
      <c r="C49" s="164">
        <f>'Uncertainty Analysis'!Q19</f>
        <v>-1057.7179048294499</v>
      </c>
      <c r="D49" s="3" t="s">
        <v>56</v>
      </c>
    </row>
  </sheetData>
  <sheetProtection sort="0" pivotTables="0"/>
  <mergeCells count="15">
    <mergeCell ref="B36:E36"/>
    <mergeCell ref="B47:E47"/>
    <mergeCell ref="B2:E2"/>
    <mergeCell ref="B14:E14"/>
    <mergeCell ref="B22:E22"/>
    <mergeCell ref="B6:E6"/>
    <mergeCell ref="B8:E8"/>
    <mergeCell ref="B7:E7"/>
    <mergeCell ref="B9:E9"/>
    <mergeCell ref="B10:E10"/>
    <mergeCell ref="B11:E11"/>
    <mergeCell ref="B12:E12"/>
    <mergeCell ref="B3:E3"/>
    <mergeCell ref="B16:E16"/>
    <mergeCell ref="B21:E21"/>
  </mergeCells>
  <phoneticPr fontId="7"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80F1-A67B-4DBB-B84C-7AFFAF9380B8}">
  <sheetPr>
    <tabColor rgb="FF046C8B"/>
  </sheetPr>
  <dimension ref="A1:S40"/>
  <sheetViews>
    <sheetView topLeftCell="D13" zoomScale="55" zoomScaleNormal="55" workbookViewId="0">
      <selection activeCell="I26" sqref="I26"/>
    </sheetView>
  </sheetViews>
  <sheetFormatPr defaultColWidth="8.75" defaultRowHeight="19.5"/>
  <cols>
    <col min="1" max="1" width="4.125" style="25" customWidth="1"/>
    <col min="2" max="2" width="76" style="25" customWidth="1"/>
    <col min="3" max="3" width="44.125" style="25" customWidth="1"/>
    <col min="4" max="4" width="19.5" style="25" customWidth="1"/>
    <col min="5" max="5" width="21.875" style="25" customWidth="1"/>
    <col min="6" max="6" width="5" style="61" customWidth="1"/>
    <col min="7" max="7" width="5" style="25" customWidth="1"/>
    <col min="8" max="8" width="73.25" style="25" bestFit="1" customWidth="1"/>
    <col min="9" max="9" width="112.625" style="25" bestFit="1" customWidth="1"/>
    <col min="10" max="10" width="35.375" style="25" customWidth="1"/>
    <col min="11" max="11" width="15.25" style="25" customWidth="1"/>
    <col min="12" max="12" width="16.75" style="25" customWidth="1"/>
    <col min="13" max="13" width="11.75" style="25" bestFit="1" customWidth="1"/>
    <col min="14" max="14" width="8.75" style="25"/>
    <col min="15" max="15" width="10.125" style="25" bestFit="1" customWidth="1"/>
    <col min="16" max="18" width="8.75" style="25"/>
    <col min="19" max="16384" width="8.75" style="3"/>
  </cols>
  <sheetData>
    <row r="1" spans="2:15" ht="25.5">
      <c r="B1" s="60" t="s">
        <v>34</v>
      </c>
      <c r="H1" s="60" t="s">
        <v>58</v>
      </c>
    </row>
    <row r="2" spans="2:15" ht="18" customHeight="1"/>
    <row r="3" spans="2:15">
      <c r="B3" s="139" t="s">
        <v>37</v>
      </c>
      <c r="C3" s="139" t="s">
        <v>59</v>
      </c>
      <c r="D3" s="139" t="s">
        <v>60</v>
      </c>
      <c r="E3" s="139" t="s">
        <v>61</v>
      </c>
      <c r="H3" s="62" t="s">
        <v>62</v>
      </c>
    </row>
    <row r="4" spans="2:15" ht="33.75">
      <c r="B4" s="140" t="s">
        <v>63</v>
      </c>
      <c r="C4" s="5" t="s">
        <v>64</v>
      </c>
      <c r="D4" s="5" t="s">
        <v>42</v>
      </c>
      <c r="E4" s="142">
        <f>'Raw Data Electricity'!D12</f>
        <v>495932</v>
      </c>
      <c r="H4" s="139" t="s">
        <v>65</v>
      </c>
      <c r="I4" s="139" t="s">
        <v>66</v>
      </c>
      <c r="J4" s="139" t="s">
        <v>67</v>
      </c>
      <c r="K4" s="139" t="s">
        <v>60</v>
      </c>
      <c r="L4" s="139" t="s">
        <v>61</v>
      </c>
    </row>
    <row r="5" spans="2:15" ht="33.75">
      <c r="B5" s="140" t="s">
        <v>68</v>
      </c>
      <c r="C5" s="5" t="s">
        <v>69</v>
      </c>
      <c r="D5" s="5" t="s">
        <v>42</v>
      </c>
      <c r="E5" s="142">
        <f>'Raw Data Electricity'!D21</f>
        <v>43144</v>
      </c>
      <c r="F5" s="64"/>
      <c r="G5" s="43"/>
      <c r="H5" s="147" t="s">
        <v>70</v>
      </c>
      <c r="I5" s="147" t="str">
        <f>_xlfn.CONCAT(B4," x ",B23)</f>
        <v xml:space="preserve">Baseline Annual Electricity Consumption (production &amp; Non-production environments) - measured  x Grid Emissions Factor </v>
      </c>
      <c r="J5" s="147" t="s">
        <v>71</v>
      </c>
      <c r="K5" s="147" t="s">
        <v>72</v>
      </c>
      <c r="L5" s="148">
        <f>E4*E23</f>
        <v>155722.64799999999</v>
      </c>
    </row>
    <row r="6" spans="2:15" ht="33.75">
      <c r="B6" s="5" t="s">
        <v>73</v>
      </c>
      <c r="C6" s="140" t="s">
        <v>74</v>
      </c>
      <c r="D6" s="5" t="s">
        <v>75</v>
      </c>
      <c r="E6" s="142">
        <v>5</v>
      </c>
      <c r="F6" s="65"/>
      <c r="G6" s="42"/>
      <c r="H6" s="5" t="s">
        <v>76</v>
      </c>
      <c r="I6" s="5" t="str">
        <f>_xlfn.CONCAT(H5," x ",B6)</f>
        <v>Annual Emissions in reference scenario x Length of time period assessed</v>
      </c>
      <c r="J6" s="5" t="s">
        <v>77</v>
      </c>
      <c r="K6" s="5" t="s">
        <v>72</v>
      </c>
      <c r="L6" s="142">
        <f>L5*E6</f>
        <v>778613.24</v>
      </c>
    </row>
    <row r="7" spans="2:15">
      <c r="E7" s="138"/>
      <c r="F7" s="65"/>
      <c r="G7" s="42"/>
    </row>
    <row r="8" spans="2:15">
      <c r="B8" s="62" t="s">
        <v>78</v>
      </c>
      <c r="D8" s="70"/>
      <c r="E8" s="71"/>
      <c r="F8" s="65"/>
      <c r="G8" s="42"/>
    </row>
    <row r="9" spans="2:15">
      <c r="B9" s="8" t="s">
        <v>79</v>
      </c>
      <c r="C9" s="141" t="s">
        <v>80</v>
      </c>
      <c r="D9" s="8" t="s">
        <v>45</v>
      </c>
      <c r="E9" s="113">
        <f>E4*$E$6</f>
        <v>2479660</v>
      </c>
      <c r="F9" s="65"/>
      <c r="G9" s="42"/>
      <c r="H9" s="62" t="s">
        <v>81</v>
      </c>
    </row>
    <row r="10" spans="2:15">
      <c r="B10" s="8" t="s">
        <v>82</v>
      </c>
      <c r="C10" s="141" t="s">
        <v>80</v>
      </c>
      <c r="D10" s="8" t="s">
        <v>45</v>
      </c>
      <c r="E10" s="113">
        <f>E5*$E$6</f>
        <v>215720</v>
      </c>
      <c r="F10" s="65"/>
      <c r="G10" s="42"/>
      <c r="H10" s="139" t="s">
        <v>65</v>
      </c>
      <c r="I10" s="139" t="s">
        <v>66</v>
      </c>
      <c r="J10" s="139" t="s">
        <v>67</v>
      </c>
      <c r="K10" s="139" t="s">
        <v>60</v>
      </c>
      <c r="L10" s="139" t="s">
        <v>61</v>
      </c>
    </row>
    <row r="11" spans="2:15">
      <c r="D11" s="70"/>
      <c r="E11" s="174"/>
      <c r="F11" s="65"/>
      <c r="G11" s="42"/>
      <c r="H11" s="147" t="s">
        <v>83</v>
      </c>
      <c r="I11" s="147" t="str">
        <f>_xlfn.CONCAT(B5," x ",B23)</f>
        <v xml:space="preserve">Scenario Annual Electricity Consumption (production &amp; Non-production environments) - measured  x Grid Emissions Factor </v>
      </c>
      <c r="J11" s="147" t="s">
        <v>71</v>
      </c>
      <c r="K11" s="147" t="s">
        <v>72</v>
      </c>
      <c r="L11" s="148">
        <f>E5*E23</f>
        <v>13547.216</v>
      </c>
    </row>
    <row r="12" spans="2:15">
      <c r="B12" s="49" t="s">
        <v>84</v>
      </c>
      <c r="C12" s="49" t="s">
        <v>59</v>
      </c>
      <c r="D12" s="49" t="s">
        <v>60</v>
      </c>
      <c r="E12" s="49" t="s">
        <v>61</v>
      </c>
      <c r="F12" s="65"/>
      <c r="G12" s="42"/>
      <c r="H12" s="5" t="s">
        <v>85</v>
      </c>
      <c r="I12" s="5" t="str">
        <f>_xlfn.CONCAT(H11," x ",B6)</f>
        <v>Annual Emissions in solution scenario x Length of time period assessed</v>
      </c>
      <c r="J12" s="147" t="s">
        <v>77</v>
      </c>
      <c r="K12" s="5" t="s">
        <v>72</v>
      </c>
      <c r="L12" s="148">
        <f>L11*E6</f>
        <v>67736.08</v>
      </c>
      <c r="O12" s="174"/>
    </row>
    <row r="13" spans="2:15" ht="68.25">
      <c r="B13" s="5" t="s">
        <v>86</v>
      </c>
      <c r="C13" s="140" t="s">
        <v>87</v>
      </c>
      <c r="D13" s="5" t="s">
        <v>50</v>
      </c>
      <c r="E13" s="181">
        <f>IF(Calculator!D33="",Calculator!C33,Calculator!D33)</f>
        <v>1</v>
      </c>
      <c r="F13" s="65"/>
      <c r="G13" s="42"/>
    </row>
    <row r="14" spans="2:15" ht="33.75">
      <c r="B14" s="5" t="s">
        <v>88</v>
      </c>
      <c r="C14" s="140" t="s">
        <v>89</v>
      </c>
      <c r="D14" s="5" t="s">
        <v>90</v>
      </c>
      <c r="E14" s="142">
        <f>IF(Calculator!D29="",Calculator!C29,Calculator!D29)</f>
        <v>0.314</v>
      </c>
      <c r="H14" s="69" t="s">
        <v>91</v>
      </c>
      <c r="I14" s="67"/>
      <c r="J14" s="67"/>
      <c r="K14" s="67"/>
      <c r="L14" s="68"/>
    </row>
    <row r="15" spans="2:15" ht="33.75">
      <c r="B15" s="5" t="s">
        <v>92</v>
      </c>
      <c r="C15" s="140" t="s">
        <v>93</v>
      </c>
      <c r="D15" s="5" t="s">
        <v>72</v>
      </c>
      <c r="E15" s="142">
        <f>IF(Calculator!D30="",Calculator!C30,Calculator!D30)*$E$13</f>
        <v>31100</v>
      </c>
      <c r="F15" s="64"/>
      <c r="G15" s="43"/>
      <c r="H15" s="66" t="s">
        <v>94</v>
      </c>
      <c r="I15" s="46" t="s">
        <v>66</v>
      </c>
      <c r="J15" s="46" t="s">
        <v>67</v>
      </c>
      <c r="K15" s="46" t="s">
        <v>60</v>
      </c>
      <c r="L15" s="46" t="s">
        <v>61</v>
      </c>
    </row>
    <row r="16" spans="2:15" ht="33.75">
      <c r="B16" s="5" t="s">
        <v>95</v>
      </c>
      <c r="C16" s="140" t="s">
        <v>93</v>
      </c>
      <c r="D16" s="5" t="s">
        <v>72</v>
      </c>
      <c r="E16" s="142">
        <f>IF(Calculator!D31="",Calculator!C31,Calculator!D31)*$E$13</f>
        <v>40</v>
      </c>
      <c r="H16" s="147" t="s">
        <v>96</v>
      </c>
      <c r="I16" s="151" t="str">
        <f>_xlfn.CONCAT(B15," + ", B16," + ",B17," + ",B18)</f>
        <v>Manufacturing emissions (kgCO2e) + Upstream Transportation emissions (kgCO2e) + Non-electricity Use-Phase Emissions (kgCO2e) + End of life emissions (kgCO2e)</v>
      </c>
      <c r="J16" s="147" t="s">
        <v>97</v>
      </c>
      <c r="K16" s="147" t="s">
        <v>72</v>
      </c>
      <c r="L16" s="152">
        <f>SUM(E15:E18)</f>
        <v>86093.92</v>
      </c>
      <c r="O16" s="174"/>
    </row>
    <row r="17" spans="1:19" ht="33.75">
      <c r="B17" s="5" t="s">
        <v>98</v>
      </c>
      <c r="C17" s="140" t="s">
        <v>93</v>
      </c>
      <c r="D17" s="5" t="s">
        <v>72</v>
      </c>
      <c r="E17" s="142">
        <f>'First Order Effects'!D14</f>
        <v>54463.92</v>
      </c>
      <c r="F17" s="72"/>
      <c r="G17" s="71"/>
      <c r="H17" s="67"/>
      <c r="I17" s="67"/>
      <c r="J17" s="149"/>
      <c r="K17" s="67"/>
      <c r="L17" s="150"/>
    </row>
    <row r="18" spans="1:19" ht="33.75">
      <c r="B18" s="5" t="s">
        <v>99</v>
      </c>
      <c r="C18" s="140" t="s">
        <v>93</v>
      </c>
      <c r="D18" s="5" t="s">
        <v>72</v>
      </c>
      <c r="E18" s="142">
        <f>'First Order Effects'!D15</f>
        <v>490</v>
      </c>
      <c r="F18" s="72"/>
      <c r="G18" s="71"/>
      <c r="H18" s="67"/>
      <c r="I18" s="67"/>
      <c r="J18" s="149"/>
      <c r="K18" s="67"/>
      <c r="L18" s="150"/>
      <c r="O18" s="183"/>
    </row>
    <row r="19" spans="1:19">
      <c r="D19" s="42"/>
      <c r="E19" s="174"/>
      <c r="F19" s="72"/>
      <c r="G19" s="71"/>
      <c r="H19" s="69" t="s">
        <v>100</v>
      </c>
      <c r="I19" s="59"/>
      <c r="J19" s="42"/>
    </row>
    <row r="20" spans="1:19" ht="25.5">
      <c r="B20" s="60" t="s">
        <v>101</v>
      </c>
      <c r="C20" s="59"/>
      <c r="D20" s="59"/>
      <c r="E20" s="59"/>
      <c r="H20" s="46" t="s">
        <v>65</v>
      </c>
      <c r="I20" s="46" t="s">
        <v>66</v>
      </c>
      <c r="J20" s="46" t="s">
        <v>67</v>
      </c>
      <c r="K20" s="46" t="s">
        <v>60</v>
      </c>
      <c r="L20" s="46" t="s">
        <v>61</v>
      </c>
    </row>
    <row r="21" spans="1:19" ht="33.75">
      <c r="B21" s="96" t="s">
        <v>102</v>
      </c>
      <c r="C21" s="59"/>
      <c r="D21" s="59"/>
      <c r="E21" s="59"/>
      <c r="F21" s="72"/>
      <c r="G21" s="71"/>
      <c r="H21" s="153" t="s">
        <v>103</v>
      </c>
      <c r="I21" s="176" t="str">
        <f>_xlfn.CONCAT(H6," - ",H12)</f>
        <v>Total reference scenario emissions across full case study period - Total solution scenario emissions across full case study period</v>
      </c>
      <c r="J21" s="87" t="s">
        <v>104</v>
      </c>
      <c r="K21" s="87" t="s">
        <v>72</v>
      </c>
      <c r="L21" s="155">
        <f>(L12-L6)</f>
        <v>-710877.16</v>
      </c>
      <c r="O21" s="174"/>
      <c r="S21" s="25"/>
    </row>
    <row r="22" spans="1:19">
      <c r="B22" s="49" t="s">
        <v>105</v>
      </c>
      <c r="C22" s="49" t="s">
        <v>106</v>
      </c>
      <c r="D22" s="49" t="s">
        <v>60</v>
      </c>
      <c r="E22" s="49" t="s">
        <v>61</v>
      </c>
      <c r="F22" s="72"/>
      <c r="G22" s="71"/>
      <c r="H22" s="74"/>
    </row>
    <row r="23" spans="1:19" ht="51.75">
      <c r="B23" s="88" t="s">
        <v>107</v>
      </c>
      <c r="C23" s="140" t="s">
        <v>108</v>
      </c>
      <c r="D23" s="89" t="s">
        <v>90</v>
      </c>
      <c r="E23" s="89">
        <f>$E$14</f>
        <v>0.314</v>
      </c>
      <c r="F23" s="72"/>
      <c r="G23" s="71"/>
      <c r="H23" s="74"/>
    </row>
    <row r="24" spans="1:19">
      <c r="H24" s="69" t="s">
        <v>109</v>
      </c>
      <c r="I24" s="59"/>
      <c r="J24" s="42"/>
    </row>
    <row r="25" spans="1:19" s="25" customFormat="1">
      <c r="F25" s="73"/>
      <c r="G25" s="59"/>
      <c r="H25" s="139" t="s">
        <v>65</v>
      </c>
      <c r="I25" s="139" t="s">
        <v>66</v>
      </c>
      <c r="J25" s="139" t="s">
        <v>67</v>
      </c>
      <c r="K25" s="139" t="s">
        <v>60</v>
      </c>
      <c r="L25" s="139" t="s">
        <v>61</v>
      </c>
      <c r="O25" s="42"/>
    </row>
    <row r="26" spans="1:19">
      <c r="F26" s="73"/>
      <c r="G26" s="59"/>
      <c r="H26" s="63" t="s">
        <v>110</v>
      </c>
      <c r="I26" s="63" t="str">
        <f>_xlfn.CONCAT(H21," - ",H16)</f>
        <v>Second Order Effects - Total lifecycle emissions of the IBM LinuxONE Emperor 5 Max 136</v>
      </c>
      <c r="J26" s="87" t="s">
        <v>104</v>
      </c>
      <c r="K26" s="154" t="str">
        <f t="shared" ref="K26:K27" si="0">_xlfn.TEXTAFTER(J26, " ", -1)</f>
        <v>kgCO2e</v>
      </c>
      <c r="L26" s="113">
        <f>L21+L16</f>
        <v>-624783.24</v>
      </c>
      <c r="P26" s="42"/>
      <c r="Q26" s="42"/>
      <c r="R26" s="42"/>
      <c r="S26" s="42"/>
    </row>
    <row r="27" spans="1:19">
      <c r="F27" s="73"/>
      <c r="G27" s="59"/>
      <c r="H27" s="5" t="s">
        <v>111</v>
      </c>
      <c r="I27" s="5" t="s">
        <v>112</v>
      </c>
      <c r="J27" s="5" t="s">
        <v>113</v>
      </c>
      <c r="K27" s="5" t="str">
        <f t="shared" si="0"/>
        <v>tCO2e</v>
      </c>
      <c r="L27" s="142">
        <f>L26/1000</f>
        <v>-624.78323999999998</v>
      </c>
    </row>
    <row r="28" spans="1:19" s="25" customFormat="1">
      <c r="A28" s="42"/>
      <c r="F28" s="73"/>
      <c r="G28" s="59"/>
      <c r="H28" s="42"/>
      <c r="I28" s="42"/>
      <c r="J28" s="42"/>
      <c r="K28" s="42"/>
      <c r="L28" s="145"/>
      <c r="S28" s="3"/>
    </row>
    <row r="29" spans="1:19" s="42" customFormat="1">
      <c r="C29" s="25"/>
      <c r="E29" s="144"/>
      <c r="F29" s="73"/>
      <c r="G29" s="59"/>
      <c r="H29" s="25"/>
      <c r="I29" s="25"/>
      <c r="J29" s="25"/>
      <c r="K29" s="25"/>
      <c r="L29" s="25"/>
      <c r="P29" s="25"/>
      <c r="Q29" s="25"/>
      <c r="R29" s="25"/>
      <c r="S29" s="25"/>
    </row>
    <row r="30" spans="1:19" s="42" customFormat="1" ht="19.5" customHeight="1">
      <c r="A30" s="25"/>
      <c r="C30" s="25"/>
      <c r="E30" s="144"/>
      <c r="F30" s="73"/>
      <c r="G30" s="59"/>
      <c r="O30" s="25"/>
    </row>
    <row r="31" spans="1:19" ht="30" customHeight="1">
      <c r="B31" s="42"/>
      <c r="D31" s="42"/>
      <c r="E31" s="143"/>
      <c r="F31" s="73"/>
      <c r="G31" s="59"/>
    </row>
    <row r="32" spans="1:19" s="25" customFormat="1" ht="26.25" customHeight="1">
      <c r="A32" s="42"/>
      <c r="B32" s="42"/>
      <c r="C32" s="174"/>
      <c r="D32" s="173"/>
      <c r="E32" s="143"/>
      <c r="F32" s="73"/>
      <c r="G32" s="59"/>
      <c r="S32" s="3"/>
    </row>
    <row r="33" spans="1:19" s="42" customFormat="1" ht="29.25" customHeight="1">
      <c r="A33" s="25"/>
      <c r="C33" s="25"/>
      <c r="D33" s="171"/>
      <c r="E33" s="172"/>
      <c r="F33" s="73"/>
      <c r="G33" s="59"/>
      <c r="O33" s="25"/>
      <c r="P33" s="25"/>
      <c r="Q33" s="25"/>
      <c r="R33" s="25"/>
      <c r="S33" s="3"/>
    </row>
    <row r="34" spans="1:19">
      <c r="B34" s="42"/>
      <c r="D34" s="42"/>
      <c r="E34" s="172"/>
      <c r="F34" s="73"/>
      <c r="G34" s="59"/>
    </row>
    <row r="35" spans="1:19">
      <c r="B35" s="42"/>
      <c r="D35" s="170"/>
      <c r="E35" s="145"/>
      <c r="F35" s="73"/>
      <c r="G35" s="59"/>
      <c r="S35" s="25"/>
    </row>
    <row r="36" spans="1:19">
      <c r="B36" s="75"/>
      <c r="C36" s="59"/>
      <c r="D36" s="59"/>
      <c r="E36" s="59"/>
      <c r="F36" s="73"/>
      <c r="G36" s="59"/>
      <c r="S36" s="25"/>
    </row>
    <row r="37" spans="1:19">
      <c r="F37" s="73"/>
      <c r="G37" s="59"/>
      <c r="S37" s="25"/>
    </row>
    <row r="38" spans="1:19" s="25" customFormat="1">
      <c r="F38" s="73"/>
      <c r="G38" s="59"/>
    </row>
    <row r="39" spans="1:19" s="25" customFormat="1">
      <c r="F39" s="73"/>
      <c r="G39" s="59"/>
    </row>
    <row r="40" spans="1:19" s="25" customFormat="1">
      <c r="F40" s="73"/>
      <c r="G40" s="59"/>
    </row>
  </sheetData>
  <hyperlinks>
    <hyperlink ref="B21" location="'Emission Factors'!A1" display="Emission Factors tab" xr:uid="{381A8088-0E88-4EFB-9296-50D8681EBC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E65-52D7-4E5F-B82F-BA278CC069F4}">
  <sheetPr>
    <tabColor rgb="FFA6D9F7"/>
  </sheetPr>
  <dimension ref="B2:T30"/>
  <sheetViews>
    <sheetView topLeftCell="D8" workbookViewId="0">
      <selection activeCell="N18" sqref="N18:O18"/>
    </sheetView>
  </sheetViews>
  <sheetFormatPr defaultColWidth="8.75" defaultRowHeight="19.5"/>
  <cols>
    <col min="1" max="1" width="3.75" style="3" customWidth="1"/>
    <col min="2" max="2" width="33.875" style="3" customWidth="1"/>
    <col min="3" max="4" width="29.5" style="3" customWidth="1"/>
    <col min="5" max="12" width="21.875" style="3" customWidth="1"/>
    <col min="13" max="14" width="21.875" style="4" customWidth="1"/>
    <col min="15" max="15" width="14.75" style="4" customWidth="1"/>
    <col min="16" max="16" width="16.875" style="4" customWidth="1"/>
    <col min="17" max="17" width="24.75" style="3" customWidth="1"/>
    <col min="18" max="18" width="18.25" style="3" customWidth="1"/>
    <col min="19" max="19" width="8.75" style="3" customWidth="1"/>
    <col min="20" max="20" width="19.125" style="3" customWidth="1"/>
    <col min="21" max="21" width="10.75" style="3" customWidth="1"/>
    <col min="22" max="22" width="25.625" style="3" customWidth="1"/>
    <col min="23" max="16384" width="8.75" style="3"/>
  </cols>
  <sheetData>
    <row r="2" spans="2:20">
      <c r="B2" s="2" t="s">
        <v>114</v>
      </c>
    </row>
    <row r="3" spans="2:20" ht="38.25" customHeight="1">
      <c r="B3" s="192" t="s">
        <v>115</v>
      </c>
      <c r="C3" s="192"/>
      <c r="D3" s="192"/>
      <c r="E3" s="192"/>
      <c r="F3" s="192"/>
      <c r="G3" s="192"/>
      <c r="H3" s="192"/>
      <c r="I3" s="192"/>
    </row>
    <row r="4" spans="2:20">
      <c r="B4" s="2"/>
      <c r="K4" s="2"/>
      <c r="M4" s="3"/>
      <c r="N4" s="3"/>
      <c r="O4" s="3"/>
      <c r="P4" s="3"/>
      <c r="T4" s="2"/>
    </row>
    <row r="5" spans="2:20" ht="19.149999999999999" customHeight="1">
      <c r="B5" s="102"/>
      <c r="C5" s="103"/>
      <c r="D5" s="103"/>
      <c r="E5" s="194" t="s">
        <v>116</v>
      </c>
      <c r="F5" s="194"/>
      <c r="G5" s="194"/>
      <c r="H5" s="194"/>
      <c r="I5" s="194"/>
      <c r="J5" s="195" t="s">
        <v>117</v>
      </c>
      <c r="K5" s="195"/>
      <c r="L5" s="195"/>
      <c r="M5" s="195"/>
      <c r="N5" s="195"/>
      <c r="O5" s="196" t="s">
        <v>118</v>
      </c>
      <c r="P5" s="197"/>
      <c r="Q5" s="198"/>
    </row>
    <row r="6" spans="2:20" ht="47.25" customHeight="1">
      <c r="B6" s="157" t="s">
        <v>119</v>
      </c>
      <c r="C6" s="158" t="s">
        <v>120</v>
      </c>
      <c r="D6" s="158" t="s">
        <v>121</v>
      </c>
      <c r="E6" s="157" t="s">
        <v>122</v>
      </c>
      <c r="F6" s="158" t="s">
        <v>123</v>
      </c>
      <c r="G6" s="157" t="s">
        <v>124</v>
      </c>
      <c r="H6" s="158" t="s">
        <v>125</v>
      </c>
      <c r="I6" s="158" t="s">
        <v>126</v>
      </c>
      <c r="J6" s="159" t="s">
        <v>122</v>
      </c>
      <c r="K6" s="160" t="s">
        <v>123</v>
      </c>
      <c r="L6" s="159" t="s">
        <v>124</v>
      </c>
      <c r="M6" s="160" t="s">
        <v>125</v>
      </c>
      <c r="N6" s="160" t="s">
        <v>126</v>
      </c>
      <c r="O6" s="159" t="s">
        <v>127</v>
      </c>
      <c r="P6" s="160" t="s">
        <v>128</v>
      </c>
      <c r="Q6" s="160" t="s">
        <v>129</v>
      </c>
      <c r="R6" s="160" t="s">
        <v>130</v>
      </c>
    </row>
    <row r="7" spans="2:20" ht="18.600000000000001" customHeight="1">
      <c r="B7" s="6" t="s">
        <v>131</v>
      </c>
      <c r="C7" s="6" t="s">
        <v>132</v>
      </c>
      <c r="D7" s="76" t="s">
        <v>133</v>
      </c>
      <c r="E7" s="91" t="s">
        <v>134</v>
      </c>
      <c r="F7" s="90" t="s">
        <v>135</v>
      </c>
      <c r="G7" s="90" t="s">
        <v>135</v>
      </c>
      <c r="H7" s="91" t="s">
        <v>136</v>
      </c>
      <c r="I7" s="92" t="s">
        <v>134</v>
      </c>
      <c r="J7" s="119">
        <f>INDEX($C$29:$F$29,MATCH(E7,$C$24:$F$24,0))</f>
        <v>1.2</v>
      </c>
      <c r="K7" s="119">
        <f>INDEX($C$27:$F$27,MATCH(F7,$C$24:$F$24,0))</f>
        <v>1</v>
      </c>
      <c r="L7" s="119">
        <f>INDEX($C$28:$F$28,MATCH(G7,$C$24:$F$24,0))</f>
        <v>1</v>
      </c>
      <c r="M7" s="119">
        <f>INDEX($C$25:$F$25,MATCH(H7,$C$24:$F$24,0))</f>
        <v>1</v>
      </c>
      <c r="N7" s="119">
        <f>INDEX($C$26:$F$26,MATCH(I7,$C$24:$F$24,0))</f>
        <v>1.05</v>
      </c>
      <c r="O7" s="161">
        <f>EXP(SQRT((LN(J7)^2)+(LN(K7)^2)+(LN(L7)^2)+(LN(M7)^2)+(LN(N7)^2)))</f>
        <v>1.207723199572867</v>
      </c>
      <c r="P7" s="162">
        <f>SUM(Backend!E15:E17)</f>
        <v>85603.92</v>
      </c>
      <c r="Q7" s="162">
        <f>P7*O7</f>
        <v>103385.84015837974</v>
      </c>
      <c r="R7" s="162">
        <f>P7/O7</f>
        <v>70880.413682767175</v>
      </c>
    </row>
    <row r="8" spans="2:20" ht="39">
      <c r="B8" s="6" t="s">
        <v>131</v>
      </c>
      <c r="C8" s="13" t="s">
        <v>137</v>
      </c>
      <c r="D8" s="76" t="s">
        <v>138</v>
      </c>
      <c r="E8" s="91" t="s">
        <v>134</v>
      </c>
      <c r="F8" s="90" t="s">
        <v>135</v>
      </c>
      <c r="G8" s="90" t="s">
        <v>135</v>
      </c>
      <c r="H8" s="92" t="s">
        <v>134</v>
      </c>
      <c r="I8" s="92" t="s">
        <v>134</v>
      </c>
      <c r="J8" s="119">
        <f t="shared" ref="J8:J10" si="0">INDEX($C$29:$F$29,MATCH(E8,$C$24:$F$24,0))</f>
        <v>1.2</v>
      </c>
      <c r="K8" s="119">
        <f t="shared" ref="K8:K10" si="1">INDEX($C$27:$F$27,MATCH(F8,$C$24:$F$24,0))</f>
        <v>1</v>
      </c>
      <c r="L8" s="119">
        <f t="shared" ref="L8:L10" si="2">INDEX($C$28:$F$28,MATCH(G8,$C$24:$F$24,0))</f>
        <v>1</v>
      </c>
      <c r="M8" s="119">
        <f t="shared" ref="M8:M10" si="3">INDEX($C$25:$F$25,MATCH(H8,$C$24:$F$24,0))</f>
        <v>1.1000000000000001</v>
      </c>
      <c r="N8" s="119">
        <f t="shared" ref="N8:N10" si="4">INDEX($C$26:$F$26,MATCH(I8,$C$24:$F$24,0))</f>
        <v>1.05</v>
      </c>
      <c r="O8" s="161">
        <f t="shared" ref="O8:O10" si="5">EXP(SQRT((LN(J8)^2)+(LN(K8)^2)+(LN(L8)^2)+(LN(M8)^2)+(LN(N8)^2)))</f>
        <v>1.2354522921220721</v>
      </c>
      <c r="P8" s="162">
        <f>Backend!E4*Backend!$E$6</f>
        <v>2479660</v>
      </c>
      <c r="Q8" s="162">
        <f t="shared" ref="Q8:Q10" si="6">P8*O8</f>
        <v>3063501.6306834174</v>
      </c>
      <c r="R8" s="162">
        <f t="shared" ref="R8:R10" si="7">P8/O8</f>
        <v>2007086.8100789364</v>
      </c>
    </row>
    <row r="9" spans="2:20" ht="39">
      <c r="B9" s="6" t="s">
        <v>131</v>
      </c>
      <c r="C9" s="13" t="s">
        <v>139</v>
      </c>
      <c r="D9" s="163" t="s">
        <v>140</v>
      </c>
      <c r="E9" s="91" t="s">
        <v>134</v>
      </c>
      <c r="F9" s="90" t="s">
        <v>135</v>
      </c>
      <c r="G9" s="90" t="s">
        <v>135</v>
      </c>
      <c r="H9" s="92" t="s">
        <v>134</v>
      </c>
      <c r="I9" s="92" t="s">
        <v>134</v>
      </c>
      <c r="J9" s="119">
        <f t="shared" si="0"/>
        <v>1.2</v>
      </c>
      <c r="K9" s="119">
        <f t="shared" si="1"/>
        <v>1</v>
      </c>
      <c r="L9" s="119">
        <f t="shared" si="2"/>
        <v>1</v>
      </c>
      <c r="M9" s="119">
        <f t="shared" si="3"/>
        <v>1.1000000000000001</v>
      </c>
      <c r="N9" s="119">
        <f t="shared" si="4"/>
        <v>1.05</v>
      </c>
      <c r="O9" s="161">
        <f t="shared" si="5"/>
        <v>1.2354522921220721</v>
      </c>
      <c r="P9" s="162">
        <f>Backend!E5*Backend!$E$6</f>
        <v>215720</v>
      </c>
      <c r="Q9" s="162">
        <f t="shared" si="6"/>
        <v>266511.76845657337</v>
      </c>
      <c r="R9" s="162">
        <f t="shared" si="7"/>
        <v>174608.11831873248</v>
      </c>
    </row>
    <row r="10" spans="2:20">
      <c r="B10" s="6" t="s">
        <v>141</v>
      </c>
      <c r="C10" s="6" t="s">
        <v>142</v>
      </c>
      <c r="D10" s="76" t="s">
        <v>143</v>
      </c>
      <c r="E10" s="92" t="s">
        <v>134</v>
      </c>
      <c r="F10" s="90" t="s">
        <v>144</v>
      </c>
      <c r="G10" s="91" t="s">
        <v>136</v>
      </c>
      <c r="H10" s="91" t="s">
        <v>134</v>
      </c>
      <c r="I10" s="92" t="s">
        <v>134</v>
      </c>
      <c r="J10" s="119">
        <f t="shared" si="0"/>
        <v>1.2</v>
      </c>
      <c r="K10" s="119">
        <f t="shared" si="1"/>
        <v>1.2</v>
      </c>
      <c r="L10" s="119">
        <f t="shared" si="2"/>
        <v>1</v>
      </c>
      <c r="M10" s="119">
        <f t="shared" si="3"/>
        <v>1.1000000000000001</v>
      </c>
      <c r="N10" s="119">
        <f t="shared" si="4"/>
        <v>1.05</v>
      </c>
      <c r="O10" s="161">
        <f t="shared" si="5"/>
        <v>1.3220579299510793</v>
      </c>
      <c r="P10" s="162">
        <f>Backend!E23</f>
        <v>0.314</v>
      </c>
      <c r="Q10" s="162">
        <f t="shared" si="6"/>
        <v>0.41512619000463891</v>
      </c>
      <c r="R10" s="162">
        <f t="shared" si="7"/>
        <v>0.23750850313466906</v>
      </c>
    </row>
    <row r="11" spans="2:20">
      <c r="C11" s="15"/>
      <c r="E11" s="9"/>
      <c r="L11" s="77"/>
      <c r="M11" s="77"/>
      <c r="N11" s="78"/>
      <c r="O11" s="79"/>
      <c r="P11" s="80"/>
      <c r="Q11" s="80"/>
    </row>
    <row r="12" spans="2:20">
      <c r="C12" s="15"/>
      <c r="E12" s="9"/>
      <c r="L12" s="77"/>
      <c r="M12" s="77"/>
      <c r="N12" s="78"/>
      <c r="O12" s="79"/>
      <c r="P12" s="80"/>
      <c r="Q12" s="80"/>
    </row>
    <row r="13" spans="2:20">
      <c r="C13" s="15"/>
      <c r="E13" s="9"/>
      <c r="L13" s="77"/>
      <c r="M13" s="77"/>
      <c r="N13" s="78"/>
      <c r="O13" s="79"/>
      <c r="P13" s="80"/>
      <c r="Q13" s="80"/>
    </row>
    <row r="14" spans="2:20">
      <c r="B14" s="2" t="s">
        <v>145</v>
      </c>
      <c r="L14" s="77"/>
      <c r="M14" s="77"/>
      <c r="N14" s="78"/>
      <c r="O14" s="79"/>
      <c r="P14" s="80"/>
      <c r="Q14" s="80"/>
    </row>
    <row r="15" spans="2:20">
      <c r="B15" s="122"/>
      <c r="O15" s="9"/>
    </row>
    <row r="16" spans="2:20">
      <c r="B16" s="10" t="s">
        <v>146</v>
      </c>
      <c r="C16" s="11" t="s">
        <v>135</v>
      </c>
      <c r="D16" s="11" t="s">
        <v>147</v>
      </c>
      <c r="E16" s="11" t="s">
        <v>144</v>
      </c>
      <c r="F16" s="11" t="s">
        <v>148</v>
      </c>
      <c r="L16" s="201" t="s">
        <v>149</v>
      </c>
      <c r="M16" s="5" t="str">
        <f>C7</f>
        <v xml:space="preserve">1st order </v>
      </c>
      <c r="N16" s="201" t="str">
        <f>D7</f>
        <v>IBM LinuxOne LCA</v>
      </c>
      <c r="O16" s="201"/>
      <c r="P16" s="164">
        <f>P7</f>
        <v>85603.92</v>
      </c>
      <c r="Q16" s="164">
        <f>Q7</f>
        <v>103385.84015837974</v>
      </c>
      <c r="R16" s="164">
        <f>R7</f>
        <v>70880.413682767175</v>
      </c>
    </row>
    <row r="17" spans="2:18" ht="104.1" customHeight="1">
      <c r="B17" s="123" t="s">
        <v>150</v>
      </c>
      <c r="C17" s="13" t="s">
        <v>151</v>
      </c>
      <c r="D17" s="13" t="s">
        <v>152</v>
      </c>
      <c r="E17" s="13" t="s">
        <v>153</v>
      </c>
      <c r="F17" s="13" t="s">
        <v>154</v>
      </c>
      <c r="L17" s="201"/>
      <c r="M17" s="140" t="str">
        <f>C8</f>
        <v>Reference scenario Energy consumption</v>
      </c>
      <c r="N17" s="202" t="str">
        <f>_xlfn.CONCAT(D8," emissions")</f>
        <v>x86 server energy consumption emissions</v>
      </c>
      <c r="O17" s="202"/>
      <c r="P17" s="164">
        <f>P8*P10</f>
        <v>778613.24</v>
      </c>
      <c r="Q17" s="164">
        <f>Q8*Q10</f>
        <v>1271739.7600186055</v>
      </c>
      <c r="R17" s="164">
        <f>R8*R10</f>
        <v>476700.18392318598</v>
      </c>
    </row>
    <row r="18" spans="2:18" ht="101.45" customHeight="1">
      <c r="B18" s="12" t="s">
        <v>155</v>
      </c>
      <c r="C18" s="13" t="s">
        <v>156</v>
      </c>
      <c r="D18" s="13" t="s">
        <v>157</v>
      </c>
      <c r="E18" s="13" t="s">
        <v>158</v>
      </c>
      <c r="F18" s="13" t="s">
        <v>159</v>
      </c>
      <c r="L18" s="201"/>
      <c r="M18" s="140" t="str">
        <f>C9</f>
        <v>Solution scenario Energy consumption</v>
      </c>
      <c r="N18" s="202" t="str">
        <f>_xlfn.CONCAT(D9," emissions")</f>
        <v>IBM LinuxOne Energy Consumption emissions</v>
      </c>
      <c r="O18" s="202"/>
      <c r="P18" s="164">
        <f>P9*P10</f>
        <v>67736.08</v>
      </c>
      <c r="Q18" s="164">
        <f>Q9*Q10</f>
        <v>110636.0150307758</v>
      </c>
      <c r="R18" s="164">
        <f>R9*R10</f>
        <v>41470.91281704334</v>
      </c>
    </row>
    <row r="19" spans="2:18" ht="97.5">
      <c r="B19" s="12" t="s">
        <v>160</v>
      </c>
      <c r="C19" s="13" t="s">
        <v>161</v>
      </c>
      <c r="D19" s="13" t="s">
        <v>162</v>
      </c>
      <c r="E19" s="13" t="s">
        <v>163</v>
      </c>
      <c r="F19" s="13" t="s">
        <v>164</v>
      </c>
      <c r="L19" s="201"/>
      <c r="M19" s="200" t="s">
        <v>165</v>
      </c>
      <c r="N19" s="200"/>
      <c r="O19" s="200"/>
      <c r="P19" s="164">
        <f>((P18-P17)+P16)/1000</f>
        <v>-625.27323999999999</v>
      </c>
      <c r="Q19" s="164">
        <f t="shared" ref="Q19:R19" si="8">((Q18-Q17)+Q16)/1000</f>
        <v>-1057.7179048294499</v>
      </c>
      <c r="R19" s="164">
        <f t="shared" si="8"/>
        <v>-364.34885742337548</v>
      </c>
    </row>
    <row r="20" spans="2:18" ht="97.5">
      <c r="B20" s="12" t="s">
        <v>166</v>
      </c>
      <c r="C20" s="13" t="s">
        <v>167</v>
      </c>
      <c r="D20" s="13" t="s">
        <v>168</v>
      </c>
      <c r="E20" s="14" t="s">
        <v>169</v>
      </c>
      <c r="F20" s="13" t="s">
        <v>170</v>
      </c>
      <c r="L20" s="201"/>
      <c r="M20" s="203" t="s">
        <v>171</v>
      </c>
      <c r="N20" s="203"/>
      <c r="O20" s="203"/>
      <c r="P20" s="7">
        <f>P19-$P$19</f>
        <v>0</v>
      </c>
      <c r="Q20" s="7">
        <f>Q19-P19</f>
        <v>-432.44466482944995</v>
      </c>
      <c r="R20" s="7">
        <f>(R19-P19)*-1</f>
        <v>-260.92438257662451</v>
      </c>
    </row>
    <row r="21" spans="2:18" ht="92.25" customHeight="1">
      <c r="B21" s="12" t="s">
        <v>172</v>
      </c>
      <c r="C21" s="13" t="s">
        <v>173</v>
      </c>
      <c r="D21" s="13" t="s">
        <v>174</v>
      </c>
      <c r="E21" s="13" t="s">
        <v>175</v>
      </c>
      <c r="F21" s="13" t="s">
        <v>176</v>
      </c>
      <c r="M21" s="199"/>
      <c r="N21" s="199"/>
      <c r="P21" s="15"/>
      <c r="Q21" s="78"/>
      <c r="R21" s="78"/>
    </row>
    <row r="22" spans="2:18">
      <c r="B22" s="25" t="s">
        <v>177</v>
      </c>
      <c r="C22" s="4"/>
      <c r="D22" s="4"/>
      <c r="E22" s="4"/>
      <c r="F22" s="4"/>
      <c r="M22" s="193"/>
      <c r="N22" s="193"/>
      <c r="P22" s="165"/>
      <c r="Q22" s="165"/>
      <c r="R22" s="78"/>
    </row>
    <row r="23" spans="2:18">
      <c r="C23" s="4"/>
      <c r="D23" s="4"/>
      <c r="E23" s="4"/>
      <c r="F23" s="4"/>
      <c r="Q23" s="4"/>
    </row>
    <row r="24" spans="2:18">
      <c r="B24" s="10" t="s">
        <v>146</v>
      </c>
      <c r="C24" s="16" t="s">
        <v>136</v>
      </c>
      <c r="D24" s="11" t="s">
        <v>134</v>
      </c>
      <c r="E24" s="16" t="s">
        <v>144</v>
      </c>
      <c r="F24" s="11" t="s">
        <v>148</v>
      </c>
    </row>
    <row r="25" spans="2:18">
      <c r="B25" s="17" t="s">
        <v>178</v>
      </c>
      <c r="C25" s="18">
        <v>1</v>
      </c>
      <c r="D25" s="18">
        <v>1.1000000000000001</v>
      </c>
      <c r="E25" s="18">
        <v>1.2</v>
      </c>
      <c r="F25" s="18">
        <v>1.5</v>
      </c>
    </row>
    <row r="26" spans="2:18">
      <c r="B26" s="17" t="s">
        <v>126</v>
      </c>
      <c r="C26" s="18">
        <v>1</v>
      </c>
      <c r="D26" s="18">
        <v>1.05</v>
      </c>
      <c r="E26" s="18">
        <v>1.1000000000000001</v>
      </c>
      <c r="F26" s="18">
        <v>1.2</v>
      </c>
    </row>
    <row r="27" spans="2:18">
      <c r="B27" s="17" t="s">
        <v>179</v>
      </c>
      <c r="C27" s="18">
        <v>1</v>
      </c>
      <c r="D27" s="18">
        <v>1.1000000000000001</v>
      </c>
      <c r="E27" s="18">
        <v>1.2</v>
      </c>
      <c r="F27" s="18">
        <v>1.5</v>
      </c>
    </row>
    <row r="28" spans="2:18">
      <c r="B28" s="17" t="s">
        <v>180</v>
      </c>
      <c r="C28" s="18">
        <v>1</v>
      </c>
      <c r="D28" s="18">
        <v>1.02</v>
      </c>
      <c r="E28" s="18">
        <v>1.05</v>
      </c>
      <c r="F28" s="18">
        <v>1.1000000000000001</v>
      </c>
    </row>
    <row r="29" spans="2:18">
      <c r="B29" s="17" t="s">
        <v>181</v>
      </c>
      <c r="C29" s="18">
        <v>1</v>
      </c>
      <c r="D29" s="18">
        <v>1.2</v>
      </c>
      <c r="E29" s="18">
        <v>1.5</v>
      </c>
      <c r="F29" s="18">
        <v>2</v>
      </c>
    </row>
    <row r="30" spans="2:18">
      <c r="B30" s="3" t="s">
        <v>182</v>
      </c>
    </row>
  </sheetData>
  <mergeCells count="12">
    <mergeCell ref="B3:I3"/>
    <mergeCell ref="M22:N22"/>
    <mergeCell ref="E5:I5"/>
    <mergeCell ref="J5:N5"/>
    <mergeCell ref="O5:Q5"/>
    <mergeCell ref="M21:N21"/>
    <mergeCell ref="M19:O19"/>
    <mergeCell ref="N16:O16"/>
    <mergeCell ref="N17:O17"/>
    <mergeCell ref="N18:O18"/>
    <mergeCell ref="M20:O20"/>
    <mergeCell ref="L16:L20"/>
  </mergeCells>
  <conditionalFormatting sqref="B17:B22">
    <cfRule type="containsText" dxfId="11" priority="29" operator="containsText" text="Poor">
      <formula>NOT(ISERROR(SEARCH("Poor",B17)))</formula>
    </cfRule>
    <cfRule type="containsText" dxfId="10" priority="30" operator="containsText" text="Fair">
      <formula>NOT(ISERROR(SEARCH("Fair",B17)))</formula>
    </cfRule>
    <cfRule type="containsText" dxfId="9" priority="31" operator="containsText" text="Good ">
      <formula>NOT(ISERROR(SEARCH("Good ",B17)))</formula>
    </cfRule>
    <cfRule type="containsText" dxfId="8" priority="32" operator="containsText" text="Very Good">
      <formula>NOT(ISERROR(SEARCH("Very Good",B17)))</formula>
    </cfRule>
  </conditionalFormatting>
  <conditionalFormatting sqref="B25:B29">
    <cfRule type="containsText" dxfId="7" priority="9" operator="containsText" text="Poor">
      <formula>NOT(ISERROR(SEARCH("Poor",B25)))</formula>
    </cfRule>
    <cfRule type="containsText" dxfId="6" priority="10" operator="containsText" text="Fair">
      <formula>NOT(ISERROR(SEARCH("Fair",B25)))</formula>
    </cfRule>
    <cfRule type="containsText" dxfId="5" priority="11" operator="containsText" text="Good ">
      <formula>NOT(ISERROR(SEARCH("Good ",B25)))</formula>
    </cfRule>
    <cfRule type="containsText" dxfId="4" priority="12" operator="containsText" text="Very Good">
      <formula>NOT(ISERROR(SEARCH("Very Good",B25)))</formula>
    </cfRule>
  </conditionalFormatting>
  <conditionalFormatting sqref="E7:I10">
    <cfRule type="containsText" dxfId="3" priority="1" operator="containsText" text="Poor">
      <formula>NOT(ISERROR(SEARCH("Poor",E7)))</formula>
    </cfRule>
    <cfRule type="containsText" dxfId="2" priority="2" operator="containsText" text="Fair">
      <formula>NOT(ISERROR(SEARCH("Fair",E7)))</formula>
    </cfRule>
    <cfRule type="containsText" dxfId="1" priority="3" operator="containsText" text="Good ">
      <formula>NOT(ISERROR(SEARCH("Good ",E7)))</formula>
    </cfRule>
    <cfRule type="containsText" dxfId="0" priority="4" operator="containsText" text="Very Good">
      <formula>NOT(ISERROR(SEARCH("Very Good",E7)))</formula>
    </cfRule>
  </conditionalFormatting>
  <dataValidations count="1">
    <dataValidation type="list" allowBlank="1" showInputMessage="1" showErrorMessage="1" sqref="E7:I10" xr:uid="{07198611-BA67-416C-8B99-DDD83DEC95FE}">
      <formula1>$C$24:$F$24</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BCD9-403F-4B7F-A72F-4CF3D12C5F6A}">
  <sheetPr>
    <tabColor rgb="FFA6D9F7"/>
  </sheetPr>
  <dimension ref="B2:P10"/>
  <sheetViews>
    <sheetView topLeftCell="E1" workbookViewId="0">
      <selection activeCell="O9" sqref="O9"/>
    </sheetView>
  </sheetViews>
  <sheetFormatPr defaultColWidth="8.75" defaultRowHeight="19.5"/>
  <cols>
    <col min="1" max="1" width="5.125" style="3" customWidth="1"/>
    <col min="2" max="2" width="19.75" style="3" customWidth="1"/>
    <col min="3" max="3" width="28.375" style="3" customWidth="1"/>
    <col min="4" max="4" width="31.75" style="3" customWidth="1"/>
    <col min="5" max="5" width="14.375" style="3" customWidth="1"/>
    <col min="6" max="6" width="18.375" style="3" bestFit="1" customWidth="1"/>
    <col min="7" max="7" width="15.875" style="3" customWidth="1"/>
    <col min="8" max="8" width="19.25" style="3" customWidth="1"/>
    <col min="9" max="9" width="13.625" style="3" bestFit="1" customWidth="1"/>
    <col min="10" max="10" width="14.125" style="3" customWidth="1"/>
    <col min="11" max="11" width="22.5" style="3" customWidth="1"/>
    <col min="12" max="12" width="17.125" style="3" customWidth="1"/>
    <col min="13" max="13" width="24.625" style="3" customWidth="1"/>
    <col min="14" max="14" width="24.875" style="3" customWidth="1"/>
    <col min="15" max="15" width="57" style="3" customWidth="1"/>
    <col min="16" max="16384" width="8.75" style="3"/>
  </cols>
  <sheetData>
    <row r="2" spans="2:16">
      <c r="B2" s="2" t="s">
        <v>183</v>
      </c>
    </row>
    <row r="3" spans="2:16">
      <c r="B3" s="3" t="s">
        <v>184</v>
      </c>
    </row>
    <row r="5" spans="2:16" ht="58.5">
      <c r="B5" s="26" t="s">
        <v>119</v>
      </c>
      <c r="C5" s="26" t="str">
        <f>'Uncertainty Analysis'!C6</f>
        <v>Impact effect</v>
      </c>
      <c r="D5" s="26" t="str">
        <f>'Uncertainty Analysis'!D6</f>
        <v>Description of effect</v>
      </c>
      <c r="E5" s="26" t="str">
        <f>'Uncertainty Analysis'!P6</f>
        <v>Input data</v>
      </c>
      <c r="F5" s="26" t="s">
        <v>60</v>
      </c>
      <c r="G5" s="26" t="s">
        <v>185</v>
      </c>
      <c r="H5" s="26" t="s">
        <v>186</v>
      </c>
      <c r="I5" s="27" t="str">
        <f>'Uncertainty Analysis'!Q6</f>
        <v>Input data with SD (higher range)</v>
      </c>
      <c r="J5" s="27" t="str">
        <f>'Uncertainty Analysis'!R6</f>
        <v>Input data with SD (lower range)</v>
      </c>
      <c r="K5" s="26" t="s">
        <v>187</v>
      </c>
      <c r="L5" s="26" t="s">
        <v>188</v>
      </c>
      <c r="M5" s="26" t="s">
        <v>189</v>
      </c>
      <c r="N5" s="26" t="s">
        <v>190</v>
      </c>
      <c r="O5" s="26" t="s">
        <v>191</v>
      </c>
    </row>
    <row r="6" spans="2:16">
      <c r="B6" s="19" t="s">
        <v>192</v>
      </c>
      <c r="C6" s="166" t="str">
        <f>'Uncertainty Analysis'!C7</f>
        <v xml:space="preserve">1st order </v>
      </c>
      <c r="D6" s="19" t="str">
        <f>'Uncertainty Analysis'!D7</f>
        <v>IBM LinuxOne LCA</v>
      </c>
      <c r="E6" s="167">
        <f>'Uncertainty Analysis'!P7</f>
        <v>85603.92</v>
      </c>
      <c r="F6" s="28" t="s">
        <v>72</v>
      </c>
      <c r="G6" s="117">
        <v>-0.05</v>
      </c>
      <c r="H6" s="117">
        <v>0.05</v>
      </c>
      <c r="I6" s="114">
        <f>E6+(G6*E6)</f>
        <v>81323.724000000002</v>
      </c>
      <c r="J6" s="115">
        <f>E6+(H6*E6)</f>
        <v>89884.115999999995</v>
      </c>
      <c r="K6" s="115">
        <f>Backend!$L$21+I6</f>
        <v>-629553.43599999999</v>
      </c>
      <c r="L6" s="115">
        <f>Backend!$L$21+J6</f>
        <v>-620993.04399999999</v>
      </c>
      <c r="M6" s="116">
        <f>(K6-Backend!$L$26)/Backend!$L$26</f>
        <v>7.6349615268168783E-3</v>
      </c>
      <c r="N6" s="116">
        <f>(L6-Backend!$L$26)/Backend!$L$26</f>
        <v>-6.0664175306623085E-3</v>
      </c>
      <c r="O6" s="29" t="str">
        <f>D6&amp;" "&amp;B6&amp;" +"&amp;TEXT(H6,"0%")&amp;"/"&amp;TEXT(G6,"0%")</f>
        <v>IBM LinuxOne LCA activity data +5%/-5%</v>
      </c>
      <c r="P6" s="30"/>
    </row>
    <row r="7" spans="2:16" ht="39">
      <c r="B7" s="19" t="s">
        <v>192</v>
      </c>
      <c r="C7" s="166" t="str">
        <f>'Uncertainty Analysis'!C8</f>
        <v>Reference scenario Energy consumption</v>
      </c>
      <c r="D7" s="19" t="str">
        <f>'Uncertainty Analysis'!D8</f>
        <v>x86 server energy consumption</v>
      </c>
      <c r="E7" s="167">
        <f>'Uncertainty Analysis'!P8</f>
        <v>2479660</v>
      </c>
      <c r="F7" s="28" t="s">
        <v>193</v>
      </c>
      <c r="G7" s="117">
        <v>-0.05</v>
      </c>
      <c r="H7" s="117">
        <v>0.05</v>
      </c>
      <c r="I7" s="114">
        <f>E7+(G7*E7)</f>
        <v>2355677</v>
      </c>
      <c r="J7" s="115">
        <f>E7+(H7*E7)</f>
        <v>2603643</v>
      </c>
      <c r="K7" s="115">
        <f>(Backend!$L$12-(I7*Backend!$E$23))+Backend!$L$16</f>
        <v>-585852.57799999998</v>
      </c>
      <c r="L7" s="115">
        <f>(Backend!$L$12-(J7*Backend!$E$23))+Backend!$L$16</f>
        <v>-663713.902</v>
      </c>
      <c r="M7" s="116">
        <f>(K7-Backend!$L$26)/Backend!$L$26</f>
        <v>-6.231066953716622E-2</v>
      </c>
      <c r="N7" s="116">
        <f>(L7-Backend!$L$26)/Backend!$L$26</f>
        <v>6.231066953716622E-2</v>
      </c>
      <c r="O7" s="29" t="str">
        <f t="shared" ref="O7:O9" si="0">D7&amp;" "&amp;B7&amp;" +"&amp;TEXT(H7,"0%")&amp;"/"&amp;TEXT(G7,"0%")</f>
        <v>x86 server energy consumption activity data +5%/-5%</v>
      </c>
    </row>
    <row r="8" spans="2:16" ht="39">
      <c r="B8" s="19" t="s">
        <v>192</v>
      </c>
      <c r="C8" s="166" t="str">
        <f>'Uncertainty Analysis'!C9</f>
        <v>Solution scenario Energy consumption</v>
      </c>
      <c r="D8" s="19" t="str">
        <f>'Uncertainty Analysis'!D9</f>
        <v>IBM LinuxOne Energy Consumption</v>
      </c>
      <c r="E8" s="167">
        <f>'Uncertainty Analysis'!P9</f>
        <v>215720</v>
      </c>
      <c r="F8" s="28" t="s">
        <v>193</v>
      </c>
      <c r="G8" s="117">
        <v>-0.05</v>
      </c>
      <c r="H8" s="117">
        <v>0.05</v>
      </c>
      <c r="I8" s="114">
        <f t="shared" ref="I8:I9" si="1">E8+(G8*E8)</f>
        <v>204934</v>
      </c>
      <c r="J8" s="115">
        <f t="shared" ref="J8" si="2">E8+(H8*E8)</f>
        <v>226506</v>
      </c>
      <c r="K8" s="115">
        <f>((I8*Backend!$E$23)-Backend!$L$6)+Backend!$L$16</f>
        <v>-628170.04399999999</v>
      </c>
      <c r="L8" s="115">
        <f>((J8*Backend!$E$23)-Backend!$L$6)+Backend!$L$16</f>
        <v>-621396.43599999999</v>
      </c>
      <c r="M8" s="116">
        <f>(K8-Backend!$L$26)/Backend!$L$26</f>
        <v>5.4207664085227439E-3</v>
      </c>
      <c r="N8" s="116">
        <f>(L8-Backend!$L$26)/Backend!$L$26</f>
        <v>-5.4207664085227439E-3</v>
      </c>
      <c r="O8" s="29" t="str">
        <f t="shared" si="0"/>
        <v>IBM LinuxOne Energy Consumption activity data +5%/-5%</v>
      </c>
    </row>
    <row r="9" spans="2:16">
      <c r="B9" s="19" t="s">
        <v>194</v>
      </c>
      <c r="C9" s="19" t="str">
        <f>'Uncertainty Analysis'!C10</f>
        <v xml:space="preserve">1st &amp; 2nd order </v>
      </c>
      <c r="D9" s="19" t="str">
        <f>'Uncertainty Analysis'!D10</f>
        <v>Grid Emissions Factor</v>
      </c>
      <c r="E9" s="118">
        <f>'Uncertainty Analysis'!P10</f>
        <v>0.314</v>
      </c>
      <c r="F9" s="28" t="s">
        <v>90</v>
      </c>
      <c r="G9" s="117">
        <v>-0.05</v>
      </c>
      <c r="H9" s="117">
        <v>0.05</v>
      </c>
      <c r="I9" s="114">
        <f t="shared" si="1"/>
        <v>0.29830000000000001</v>
      </c>
      <c r="J9" s="115">
        <f>E9+(H9*E9)</f>
        <v>0.32969999999999999</v>
      </c>
      <c r="K9" s="115">
        <f>((I9*Backend!$E$10)-(I9*Backend!$E$9))+Backend!$L$16</f>
        <v>-589239.38199999998</v>
      </c>
      <c r="L9" s="115">
        <f>((J9*Backend!$E$10)-(J9*Backend!$E$9))+Backend!$L$16</f>
        <v>-660327.098</v>
      </c>
      <c r="M9" s="116">
        <f>(K9-Backend!$L$26)/Backend!$L$26</f>
        <v>-5.6889903128643476E-2</v>
      </c>
      <c r="N9" s="116">
        <f>(L9-Backend!$L$26)/Backend!$L$26</f>
        <v>5.6889903128643476E-2</v>
      </c>
      <c r="O9" s="29" t="str">
        <f t="shared" si="0"/>
        <v>Grid Emissions Factor emission factor +5%/-5%</v>
      </c>
    </row>
    <row r="10" spans="2:16" ht="84.6" customHeight="1">
      <c r="C10" s="36"/>
      <c r="G10" s="204"/>
      <c r="H10" s="204"/>
      <c r="K10" s="36"/>
      <c r="L10" s="25"/>
      <c r="M10" s="36"/>
      <c r="N10" s="36"/>
    </row>
  </sheetData>
  <mergeCells count="1">
    <mergeCell ref="G10:H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9B5E-0C19-44E8-8909-70D216358FF4}">
  <sheetPr>
    <tabColor rgb="FF283C71"/>
  </sheetPr>
  <dimension ref="A1:G34"/>
  <sheetViews>
    <sheetView topLeftCell="A2" workbookViewId="0">
      <selection activeCell="C16" sqref="C16"/>
    </sheetView>
  </sheetViews>
  <sheetFormatPr defaultRowHeight="15"/>
  <cols>
    <col min="1" max="1" width="3.875" customWidth="1"/>
    <col min="3" max="3" width="29.125" bestFit="1" customWidth="1"/>
    <col min="4" max="4" width="18.375" bestFit="1" customWidth="1"/>
    <col min="5" max="5" width="25.375" bestFit="1" customWidth="1"/>
    <col min="6" max="6" width="69.25" bestFit="1" customWidth="1"/>
    <col min="7" max="7" width="78.75" bestFit="1" customWidth="1"/>
    <col min="11" max="11" width="21.125" bestFit="1" customWidth="1"/>
    <col min="12" max="12" width="13.125" customWidth="1"/>
    <col min="13" max="13" width="15.75" customWidth="1"/>
    <col min="14" max="14" width="40.5" customWidth="1"/>
  </cols>
  <sheetData>
    <row r="1" spans="1:7" ht="25.5">
      <c r="B1" s="47" t="s">
        <v>195</v>
      </c>
    </row>
    <row r="3" spans="1:7" ht="19.5">
      <c r="B3" s="95" t="s">
        <v>196</v>
      </c>
    </row>
    <row r="4" spans="1:7" ht="8.25" customHeight="1"/>
    <row r="5" spans="1:7" ht="147" customHeight="1">
      <c r="C5" s="206" t="s">
        <v>197</v>
      </c>
      <c r="D5" s="207"/>
      <c r="E5" s="207"/>
      <c r="F5" s="208"/>
    </row>
    <row r="7" spans="1:7" ht="19.5">
      <c r="A7" s="50"/>
      <c r="B7" s="50"/>
      <c r="C7" s="209" t="s">
        <v>198</v>
      </c>
      <c r="D7" s="209"/>
      <c r="E7" s="209"/>
      <c r="F7" s="42"/>
      <c r="G7" s="42"/>
    </row>
    <row r="8" spans="1:7" ht="19.5">
      <c r="A8" s="50"/>
      <c r="B8" s="50"/>
      <c r="C8" s="210" t="s">
        <v>199</v>
      </c>
      <c r="D8" s="211"/>
      <c r="E8" s="211"/>
      <c r="F8" s="211"/>
      <c r="G8" s="211"/>
    </row>
    <row r="9" spans="1:7" ht="31.5" customHeight="1">
      <c r="A9" s="50"/>
      <c r="B9" s="50"/>
      <c r="C9" s="212" t="s">
        <v>200</v>
      </c>
      <c r="D9" s="213"/>
      <c r="E9" s="213"/>
      <c r="F9" s="213"/>
      <c r="G9" s="213"/>
    </row>
    <row r="10" spans="1:7" ht="19.5">
      <c r="A10" s="50"/>
      <c r="B10" s="50"/>
      <c r="C10" s="52"/>
      <c r="D10" s="52"/>
      <c r="E10" s="52"/>
      <c r="F10" s="52"/>
      <c r="G10" s="52"/>
    </row>
    <row r="11" spans="1:7" ht="19.5">
      <c r="A11" s="50"/>
      <c r="B11" s="50"/>
      <c r="C11" s="53" t="s">
        <v>201</v>
      </c>
      <c r="D11" s="54" t="s">
        <v>61</v>
      </c>
      <c r="E11" s="55" t="s">
        <v>202</v>
      </c>
      <c r="F11" s="56" t="s">
        <v>203</v>
      </c>
      <c r="G11" s="54" t="s">
        <v>204</v>
      </c>
    </row>
    <row r="12" spans="1:7" ht="39">
      <c r="A12" s="50"/>
      <c r="B12" s="50"/>
      <c r="C12" s="53" t="s">
        <v>205</v>
      </c>
      <c r="D12" s="111">
        <v>495932</v>
      </c>
      <c r="E12" s="58" t="s">
        <v>42</v>
      </c>
      <c r="F12" s="58" t="s">
        <v>206</v>
      </c>
      <c r="G12" s="129" t="s">
        <v>207</v>
      </c>
    </row>
    <row r="13" spans="1:7" ht="19.5">
      <c r="A13" s="50"/>
      <c r="B13" s="50"/>
      <c r="C13" s="54" t="s">
        <v>208</v>
      </c>
      <c r="D13" s="112">
        <v>5</v>
      </c>
      <c r="E13" s="112" t="s">
        <v>209</v>
      </c>
      <c r="F13" s="58" t="s">
        <v>206</v>
      </c>
      <c r="G13" s="130" t="s">
        <v>210</v>
      </c>
    </row>
    <row r="14" spans="1:7" ht="19.5">
      <c r="A14" s="50"/>
      <c r="B14" s="50"/>
      <c r="C14" s="54" t="s">
        <v>211</v>
      </c>
      <c r="D14" s="112">
        <v>5376</v>
      </c>
      <c r="E14" s="112" t="s">
        <v>212</v>
      </c>
      <c r="F14" s="58" t="s">
        <v>206</v>
      </c>
      <c r="G14" s="58" t="s">
        <v>213</v>
      </c>
    </row>
    <row r="15" spans="1:7" ht="19.5">
      <c r="A15" s="50"/>
      <c r="B15" s="50"/>
      <c r="C15" s="42"/>
      <c r="D15" s="42"/>
      <c r="E15" s="42"/>
      <c r="F15" s="42"/>
      <c r="G15" s="42"/>
    </row>
    <row r="16" spans="1:7" ht="19.5">
      <c r="A16" s="50"/>
      <c r="B16" s="50"/>
      <c r="C16" s="51" t="s">
        <v>214</v>
      </c>
      <c r="D16" s="42"/>
      <c r="E16" s="42"/>
      <c r="F16" s="42"/>
      <c r="G16" s="42"/>
    </row>
    <row r="17" spans="1:7" ht="19.5">
      <c r="A17" s="50"/>
      <c r="B17" s="50"/>
      <c r="C17" s="210" t="s">
        <v>215</v>
      </c>
      <c r="D17" s="211"/>
      <c r="E17" s="211"/>
      <c r="F17" s="211"/>
      <c r="G17" s="211"/>
    </row>
    <row r="18" spans="1:7" ht="19.5">
      <c r="A18" s="50"/>
      <c r="B18" s="50"/>
      <c r="C18" s="205" t="s">
        <v>216</v>
      </c>
      <c r="D18" s="205"/>
      <c r="E18" s="205"/>
      <c r="F18" s="205"/>
      <c r="G18" s="205"/>
    </row>
    <row r="19" spans="1:7" ht="19.5">
      <c r="A19" s="50"/>
      <c r="B19" s="50"/>
      <c r="C19" s="52"/>
      <c r="D19" s="42"/>
      <c r="E19" s="42"/>
      <c r="F19" s="45"/>
      <c r="G19" s="42"/>
    </row>
    <row r="20" spans="1:7" ht="19.5">
      <c r="A20" s="50"/>
      <c r="B20" s="50"/>
      <c r="C20" s="53" t="s">
        <v>201</v>
      </c>
      <c r="D20" s="54" t="s">
        <v>61</v>
      </c>
      <c r="E20" s="55" t="s">
        <v>202</v>
      </c>
      <c r="F20" s="56" t="s">
        <v>203</v>
      </c>
      <c r="G20" s="57" t="s">
        <v>204</v>
      </c>
    </row>
    <row r="21" spans="1:7" ht="39">
      <c r="A21" s="50"/>
      <c r="B21" s="50"/>
      <c r="C21" s="53" t="s">
        <v>217</v>
      </c>
      <c r="D21" s="111">
        <v>43144</v>
      </c>
      <c r="E21" s="58" t="s">
        <v>42</v>
      </c>
      <c r="F21" s="58" t="s">
        <v>206</v>
      </c>
      <c r="G21" s="129" t="s">
        <v>218</v>
      </c>
    </row>
    <row r="22" spans="1:7" ht="19.5">
      <c r="A22" s="50"/>
      <c r="B22" s="50"/>
      <c r="C22" s="54" t="s">
        <v>208</v>
      </c>
      <c r="D22" s="112">
        <v>5</v>
      </c>
      <c r="E22" s="112" t="s">
        <v>209</v>
      </c>
      <c r="F22" s="58" t="s">
        <v>206</v>
      </c>
      <c r="G22" s="58" t="s">
        <v>210</v>
      </c>
    </row>
    <row r="23" spans="1:7" ht="19.5">
      <c r="C23" s="54" t="s">
        <v>211</v>
      </c>
      <c r="D23" s="112">
        <v>136</v>
      </c>
      <c r="E23" s="112" t="s">
        <v>212</v>
      </c>
      <c r="F23" s="58" t="s">
        <v>206</v>
      </c>
      <c r="G23" s="58" t="s">
        <v>213</v>
      </c>
    </row>
    <row r="34" spans="4:4">
      <c r="D34" s="110"/>
    </row>
  </sheetData>
  <mergeCells count="6">
    <mergeCell ref="C18:G18"/>
    <mergeCell ref="C5:F5"/>
    <mergeCell ref="C7:E7"/>
    <mergeCell ref="C8:G8"/>
    <mergeCell ref="C9:G9"/>
    <mergeCell ref="C17:G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5BED-F060-49DF-B563-BFA72F7BC225}">
  <sheetPr>
    <tabColor rgb="FF283C71"/>
  </sheetPr>
  <dimension ref="B2:H303"/>
  <sheetViews>
    <sheetView topLeftCell="A3" workbookViewId="0">
      <selection activeCell="E14" sqref="E14"/>
    </sheetView>
  </sheetViews>
  <sheetFormatPr defaultColWidth="9" defaultRowHeight="15"/>
  <cols>
    <col min="1" max="1" width="9" style="44"/>
    <col min="2" max="2" width="64.625" style="44" bestFit="1" customWidth="1"/>
    <col min="3" max="3" width="39.375" style="44" customWidth="1"/>
    <col min="4" max="4" width="34.5" style="44" customWidth="1"/>
    <col min="5" max="5" width="56.375" style="44" bestFit="1" customWidth="1"/>
    <col min="6" max="6" width="36.25" style="44" customWidth="1"/>
    <col min="7" max="7" width="27.75" style="82" customWidth="1"/>
    <col min="8" max="8" width="52.75" style="82" bestFit="1" customWidth="1"/>
    <col min="9" max="9" width="27.75" style="44" bestFit="1" customWidth="1"/>
    <col min="10" max="10" width="35.25" style="44" bestFit="1" customWidth="1"/>
    <col min="11" max="16384" width="9" style="44"/>
  </cols>
  <sheetData>
    <row r="2" spans="2:8" ht="25.5">
      <c r="B2" s="81" t="s">
        <v>219</v>
      </c>
    </row>
    <row r="3" spans="2:8" ht="26.25" thickBot="1">
      <c r="B3" s="81"/>
    </row>
    <row r="4" spans="2:8" ht="18" customHeight="1">
      <c r="B4" s="83" t="s">
        <v>220</v>
      </c>
    </row>
    <row r="5" spans="2:8" ht="19.5">
      <c r="B5" s="93" t="s">
        <v>221</v>
      </c>
    </row>
    <row r="6" spans="2:8" ht="20.25" thickBot="1">
      <c r="B6" s="94" t="s">
        <v>58</v>
      </c>
    </row>
    <row r="8" spans="2:8" s="84" customFormat="1" ht="19.5">
      <c r="B8" s="85" t="s">
        <v>222</v>
      </c>
      <c r="G8" s="86"/>
      <c r="H8" s="86"/>
    </row>
    <row r="10" spans="2:8">
      <c r="B10" s="126" t="s">
        <v>223</v>
      </c>
      <c r="C10" s="126" t="s">
        <v>224</v>
      </c>
      <c r="D10" s="126" t="s">
        <v>225</v>
      </c>
      <c r="E10" s="126" t="s">
        <v>226</v>
      </c>
      <c r="F10" s="126" t="s">
        <v>227</v>
      </c>
    </row>
    <row r="11" spans="2:8" ht="30">
      <c r="B11" s="124" t="s">
        <v>228</v>
      </c>
      <c r="C11" s="124" t="s">
        <v>72</v>
      </c>
      <c r="D11" s="128">
        <v>31100</v>
      </c>
      <c r="E11" s="125" t="s">
        <v>229</v>
      </c>
      <c r="F11" s="127" t="s">
        <v>230</v>
      </c>
    </row>
    <row r="12" spans="2:8" ht="30">
      <c r="B12" s="124" t="s">
        <v>231</v>
      </c>
      <c r="C12" s="124" t="s">
        <v>72</v>
      </c>
      <c r="D12" s="128">
        <v>40</v>
      </c>
      <c r="E12" s="125" t="s">
        <v>229</v>
      </c>
      <c r="F12" s="127" t="s">
        <v>230</v>
      </c>
    </row>
    <row r="13" spans="2:8" ht="30">
      <c r="B13" s="124" t="s">
        <v>232</v>
      </c>
      <c r="C13" s="124" t="s">
        <v>72</v>
      </c>
      <c r="D13" s="128">
        <v>122200</v>
      </c>
      <c r="E13" s="125" t="s">
        <v>229</v>
      </c>
      <c r="F13" s="127" t="s">
        <v>230</v>
      </c>
    </row>
    <row r="14" spans="2:8" ht="45">
      <c r="B14" s="124" t="s">
        <v>233</v>
      </c>
      <c r="C14" s="124" t="s">
        <v>72</v>
      </c>
      <c r="D14" s="128">
        <f>D13-Backend!L12</f>
        <v>54463.92</v>
      </c>
      <c r="E14" s="182" t="s">
        <v>234</v>
      </c>
      <c r="F14" s="127" t="s">
        <v>230</v>
      </c>
    </row>
    <row r="15" spans="2:8" ht="30">
      <c r="B15" s="124" t="s">
        <v>235</v>
      </c>
      <c r="C15" s="124" t="s">
        <v>72</v>
      </c>
      <c r="D15" s="128">
        <v>490</v>
      </c>
      <c r="E15" s="125" t="s">
        <v>229</v>
      </c>
      <c r="F15" s="127" t="s">
        <v>230</v>
      </c>
    </row>
    <row r="16" spans="2:8" ht="30">
      <c r="B16" s="124" t="s">
        <v>236</v>
      </c>
      <c r="C16" s="124" t="s">
        <v>237</v>
      </c>
      <c r="D16" s="128">
        <f>SUM(D11:D15)/1000</f>
        <v>208.29391999999999</v>
      </c>
      <c r="E16" s="125" t="s">
        <v>229</v>
      </c>
      <c r="F16" s="127" t="s">
        <v>230</v>
      </c>
    </row>
    <row r="298" ht="12" customHeight="1"/>
    <row r="299" ht="12" customHeight="1"/>
    <row r="300" ht="12" customHeight="1"/>
    <row r="301" ht="12" customHeight="1"/>
    <row r="302" ht="12" customHeight="1"/>
    <row r="303" ht="12" customHeight="1"/>
  </sheetData>
  <hyperlinks>
    <hyperlink ref="E11" r:id="rId1" xr:uid="{252FF274-BFDF-4CCC-8DB3-43D125303A40}"/>
    <hyperlink ref="E12" r:id="rId2" xr:uid="{8FB99EDA-D1DA-42E3-B644-9E2B6EF3DCE9}"/>
    <hyperlink ref="E13" r:id="rId3" xr:uid="{B6396ADE-144D-48F9-846F-5053E437F4C9}"/>
    <hyperlink ref="E15" r:id="rId4" xr:uid="{7810C52C-67AD-4EAC-A59B-C119A29EA45F}"/>
    <hyperlink ref="E16" r:id="rId5" xr:uid="{3D200B52-BD0B-4283-82DB-7F5F7659BA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6324-C1F9-4FB6-95B7-331A7695238E}">
  <sheetPr>
    <tabColor rgb="FF183C73"/>
  </sheetPr>
  <dimension ref="B2:F6"/>
  <sheetViews>
    <sheetView topLeftCell="B1" workbookViewId="0">
      <selection activeCell="F5" sqref="F5"/>
    </sheetView>
  </sheetViews>
  <sheetFormatPr defaultRowHeight="15"/>
  <cols>
    <col min="2" max="2" width="58.75" customWidth="1"/>
    <col min="3" max="4" width="51.375" bestFit="1" customWidth="1"/>
    <col min="5" max="5" width="35" bestFit="1" customWidth="1"/>
    <col min="6" max="6" width="90" customWidth="1"/>
    <col min="7" max="7" width="24.25" customWidth="1"/>
    <col min="8" max="8" width="11.5" customWidth="1"/>
    <col min="9" max="9" width="18" customWidth="1"/>
    <col min="10" max="10" width="11.75" customWidth="1"/>
  </cols>
  <sheetData>
    <row r="2" spans="2:6" ht="27">
      <c r="B2" s="48" t="s">
        <v>101</v>
      </c>
    </row>
    <row r="4" spans="2:6" ht="19.5">
      <c r="B4" s="134" t="s">
        <v>29</v>
      </c>
      <c r="C4" s="134" t="s">
        <v>238</v>
      </c>
      <c r="D4" s="134" t="s">
        <v>239</v>
      </c>
      <c r="E4" s="134" t="s">
        <v>203</v>
      </c>
      <c r="F4" s="134" t="s">
        <v>240</v>
      </c>
    </row>
    <row r="5" spans="2:6" s="44" customFormat="1" ht="240">
      <c r="B5" s="135" t="s">
        <v>30</v>
      </c>
      <c r="C5" s="135" t="s">
        <v>241</v>
      </c>
      <c r="D5" s="136">
        <f>314/1000</f>
        <v>0.314</v>
      </c>
      <c r="E5" s="156" t="s">
        <v>242</v>
      </c>
      <c r="F5" s="137" t="s">
        <v>243</v>
      </c>
    </row>
    <row r="6" spans="2:6" s="44" customFormat="1" ht="19.5">
      <c r="B6" s="131"/>
      <c r="C6" s="132"/>
      <c r="D6" s="133"/>
    </row>
  </sheetData>
  <hyperlinks>
    <hyperlink ref="E5" r:id="rId1" display="https://app.electricitymaps.com/map/zone/US-NY-NYIS/5y/yearly" xr:uid="{2CEFFF6A-425F-46B8-AC60-3B990845BE5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04c5165-4bd4-4c8a-a40e-5701edfc4e4f" xsi:nil="true"/>
    <lcf76f155ced4ddcb4097134ff3c332f xmlns="b9bdbf82-f34d-47d4-a4b8-414c81da163d">
      <Terms xmlns="http://schemas.microsoft.com/office/infopath/2007/PartnerControls"/>
    </lcf76f155ced4ddcb4097134ff3c332f>
    <TranslatedLang xmlns="b9bdbf82-f34d-47d4-a4b8-414c81da16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884CFDACAA4A4391E63416A81F8F9C" ma:contentTypeVersion="13" ma:contentTypeDescription="Create a new document." ma:contentTypeScope="" ma:versionID="e9008accf46ca8563d2d2a2de20db013">
  <xsd:schema xmlns:xsd="http://www.w3.org/2001/XMLSchema" xmlns:xs="http://www.w3.org/2001/XMLSchema" xmlns:p="http://schemas.microsoft.com/office/2006/metadata/properties" xmlns:ns2="b9bdbf82-f34d-47d4-a4b8-414c81da163d" xmlns:ns3="f04c5165-4bd4-4c8a-a40e-5701edfc4e4f" targetNamespace="http://schemas.microsoft.com/office/2006/metadata/properties" ma:root="true" ma:fieldsID="468ccd572510d7ebc0e69b608f5dabec" ns2:_="" ns3:_="">
    <xsd:import namespace="b9bdbf82-f34d-47d4-a4b8-414c81da163d"/>
    <xsd:import namespace="f04c5165-4bd4-4c8a-a40e-5701edfc4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bf82-f34d-47d4-a4b8-414c81da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6b3755e-5856-4399-9d86-976471c2812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ranslatedLang" ma:index="19" nillable="true" ma:displayName="Translated Language" ma:internalName="TranslatedLang">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c5165-4bd4-4c8a-a40e-5701edfc4e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c8f3db-0d25-4d0b-b0ab-548255e2df34}" ma:internalName="TaxCatchAll" ma:showField="CatchAllData" ma:web="f04c5165-4bd4-4c8a-a40e-5701edfc4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CFAE1-BBDA-4D83-B305-9ABA03F704D1}"/>
</file>

<file path=customXml/itemProps2.xml><?xml version="1.0" encoding="utf-8"?>
<ds:datastoreItem xmlns:ds="http://schemas.openxmlformats.org/officeDocument/2006/customXml" ds:itemID="{8823690A-85BF-4C4A-9C4C-417567B4A520}"/>
</file>

<file path=customXml/itemProps3.xml><?xml version="1.0" encoding="utf-8"?>
<ds:datastoreItem xmlns:ds="http://schemas.openxmlformats.org/officeDocument/2006/customXml" ds:itemID="{2F25E77D-5B70-4D16-B023-11C754DFEB7F}"/>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Fialho da Silva</dc:creator>
  <cp:keywords/>
  <dc:description/>
  <cp:lastModifiedBy>Alex Stokell</cp:lastModifiedBy>
  <cp:revision/>
  <dcterms:created xsi:type="dcterms:W3CDTF">2021-03-04T12:00:57Z</dcterms:created>
  <dcterms:modified xsi:type="dcterms:W3CDTF">2026-05-05T15:45:49Z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0x01010039884CFDACAA4A4391E63416A81F8F9C</vt:lpwstr>
  </property>
  <property fmtid="{D5CDD505-2E9C-101B-9397-08002B2CF9AE}" pid="3" name="CustomerId">
    <vt:lpwstr>carbontrust</vt:lpwstr>
  </property>
  <property fmtid="{D5CDD505-2E9C-101B-9397-08002B2CF9AE}" pid="4" name="TemplateId">
    <vt:lpwstr>637511402857749439</vt:lpwstr>
  </property>
  <property fmtid="{D5CDD505-2E9C-101B-9397-08002B2CF9AE}" pid="5" name="UserProfileId">
    <vt:lpwstr>637465589768188597</vt:lpwstr>
  </property>
  <property fmtid="{D5CDD505-2E9C-101B-9397-08002B2CF9AE}" pid="6" name="MediaServiceImageTags">
    <vt:lpwstr/>
  </property>
</Properties>
</file>