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carbontrust.sharepoint.com/sites/Project-EUCommission-EGDCMovestoAction-Aug24/Shared Documents/General/3. Working Documents/Task 2 - Case Studies/4. Case Study Development/2. Batch 2 - Oct 2025/4. Future Intelligence/Calculator/"/>
    </mc:Choice>
  </mc:AlternateContent>
  <xr:revisionPtr revIDLastSave="891" documentId="8_{D21C26AA-5A09-4BCB-B021-86E98E2E30B7}" xr6:coauthVersionLast="47" xr6:coauthVersionMax="47" xr10:uidLastSave="{A25E9740-6937-404D-B170-ACB05AC7D68E}"/>
  <bookViews>
    <workbookView xWindow="-7560" yWindow="-16320" windowWidth="29040" windowHeight="15720" tabRatio="857" firstSheet="1" activeTab="8" xr2:uid="{FA557853-C1E7-4E36-BCF3-2AA3835C627D}"/>
  </bookViews>
  <sheets>
    <sheet name="Disclaimer" sheetId="20" r:id="rId1"/>
    <sheet name="Calculator" sheetId="9" r:id="rId2"/>
    <sheet name="Backend" sheetId="10" r:id="rId3"/>
    <sheet name="Uncertainty Analysis" sheetId="18" r:id="rId4"/>
    <sheet name="Sensitivity Analysis" sheetId="19" r:id="rId5"/>
    <sheet name="FirstOrderEffects" sheetId="36" r:id="rId6"/>
    <sheet name="Data request" sheetId="34" r:id="rId7"/>
    <sheet name="Reference Data" sheetId="21" r:id="rId8"/>
    <sheet name="Emission Factors" sheetId="24" r:id="rId9"/>
    <sheet name="Query Log" sheetId="35" r:id="rId10"/>
  </sheets>
  <definedNames>
    <definedName name="_1st_order_effect___Totalcorn">Backend!$N$44</definedName>
    <definedName name="_1st_order_effect___Totalspring_wheat">Backend!$P$44</definedName>
    <definedName name="_1st_order_effect___Totalwinter_wheat">Backend!$O$44</definedName>
    <definedName name="AVG20172021">#REF!</definedName>
    <definedName name="AVG5Year">#REF!</definedName>
    <definedName name="ha_winterwheat_solution">Backend!$F$35</definedName>
    <definedName name="ListOfCountries">#REF!</definedName>
    <definedName name="ListOfCountriesPercent">#REF!</definedName>
    <definedName name="ListOfCountriesYearly">#REF!</definedName>
    <definedName name="LookUpMonth">#REF!</definedName>
    <definedName name="LookUpYear">#REF!</definedName>
    <definedName name="Monthly2019">#REF!</definedName>
    <definedName name="Monthly2020">#REF!</definedName>
    <definedName name="Monthly2021">#REF!</definedName>
    <definedName name="Monthly2022">#REF!</definedName>
    <definedName name="Months2019">#REF!</definedName>
    <definedName name="Months2020">#REF!</definedName>
    <definedName name="Months2021">#REF!</definedName>
    <definedName name="Months2022">#REF!</definedName>
    <definedName name="MonthsPercent2019">#REF!</definedName>
    <definedName name="MonthsPercent2020">#REF!</definedName>
    <definedName name="MonthsPercent2021">#REF!</definedName>
    <definedName name="MonthsPercent2022">#REF!</definedName>
    <definedName name="PercentMonthly2019">#REF!</definedName>
    <definedName name="PercentMonthly2020">#REF!</definedName>
    <definedName name="PercentMonthly2021">#REF!</definedName>
    <definedName name="PercentMonthly2022">#REF!</definedName>
    <definedName name="ReferenceTotal_Fertiliser_per__hectar_emissionsSPRING_WHEAT">Backend!$P$18</definedName>
    <definedName name="ReferenceTotal_Fertiliser_per__hectar_emissionsWINTER_WHEAT">Backend!$O$18</definedName>
    <definedName name="SelecCountry">#REF!</definedName>
    <definedName name="solutionTotal_Fertiliser_per__hectar_emissionsCORN">Backend!$N$35</definedName>
    <definedName name="solutionTotal_Fertiliser_per__hectar_emissionsSPRING_WHEAT">Backend!$P$35</definedName>
    <definedName name="solutionTotal_Fertiliser_per__hectar_emissionsWINTER_WHEAT">Backend!$O$35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36" l="1"/>
  <c r="I38" i="36"/>
  <c r="H38" i="36"/>
  <c r="I40" i="36" s="1"/>
  <c r="G38" i="36"/>
  <c r="G24" i="36"/>
  <c r="G13" i="36"/>
  <c r="G40" i="36"/>
  <c r="G26" i="36"/>
  <c r="I16" i="36"/>
  <c r="I15" i="36"/>
  <c r="I13" i="36"/>
  <c r="H6" i="19"/>
  <c r="D12" i="34"/>
  <c r="G12" i="36"/>
  <c r="O9" i="18"/>
  <c r="O8" i="18"/>
  <c r="O7" i="18"/>
  <c r="H24" i="36"/>
  <c r="H13" i="36"/>
  <c r="C44" i="36"/>
  <c r="C52" i="36" s="1"/>
  <c r="D29" i="10"/>
  <c r="D7" i="19"/>
  <c r="D8" i="19"/>
  <c r="D9" i="19"/>
  <c r="D10" i="19"/>
  <c r="D11" i="19"/>
  <c r="D12" i="19"/>
  <c r="D13" i="19"/>
  <c r="D14" i="19"/>
  <c r="D15" i="19"/>
  <c r="D16" i="19"/>
  <c r="D17" i="19"/>
  <c r="C7" i="19"/>
  <c r="C8" i="19"/>
  <c r="C9" i="19"/>
  <c r="C10" i="19"/>
  <c r="C11" i="19"/>
  <c r="C12" i="19"/>
  <c r="C13" i="19"/>
  <c r="C14" i="19"/>
  <c r="C15" i="19"/>
  <c r="C16" i="19"/>
  <c r="C17" i="19"/>
  <c r="C26" i="24"/>
  <c r="C37" i="10" l="1"/>
  <c r="C36" i="10"/>
  <c r="C35" i="10"/>
  <c r="E26" i="24"/>
  <c r="G26" i="24" s="1"/>
  <c r="D10" i="21"/>
  <c r="D19" i="24"/>
  <c r="D18" i="24"/>
  <c r="E51" i="10" l="1"/>
  <c r="D10" i="24"/>
  <c r="D11" i="21" l="1"/>
  <c r="E9" i="10" s="1"/>
  <c r="D17" i="21"/>
  <c r="G103" i="34"/>
  <c r="F69" i="34"/>
  <c r="D20" i="34" s="1"/>
  <c r="D25" i="34"/>
  <c r="D16" i="21" s="1"/>
  <c r="D24" i="34"/>
  <c r="D14" i="21" s="1"/>
  <c r="F19" i="10" l="1"/>
  <c r="C28" i="9"/>
  <c r="D26" i="34"/>
  <c r="B28" i="10" l="1"/>
  <c r="B27" i="10"/>
  <c r="B26" i="10"/>
  <c r="N24" i="18" l="1"/>
  <c r="N25" i="18"/>
  <c r="N26" i="18"/>
  <c r="N27" i="18"/>
  <c r="N28" i="18"/>
  <c r="G31" i="36"/>
  <c r="G32" i="36"/>
  <c r="G33" i="36"/>
  <c r="G34" i="36"/>
  <c r="G35" i="36"/>
  <c r="G36" i="36"/>
  <c r="G37" i="36"/>
  <c r="G30" i="36"/>
  <c r="G20" i="36"/>
  <c r="G21" i="36"/>
  <c r="G22" i="36"/>
  <c r="G23" i="36"/>
  <c r="G19" i="36"/>
  <c r="G9" i="36"/>
  <c r="G10" i="36"/>
  <c r="G11" i="36"/>
  <c r="G8" i="36"/>
  <c r="G15" i="36" s="1"/>
  <c r="F16" i="10"/>
  <c r="D15" i="21"/>
  <c r="D19" i="21" s="1"/>
  <c r="C27" i="9" s="1"/>
  <c r="I14" i="36" l="1"/>
  <c r="I25" i="36"/>
  <c r="D7" i="21"/>
  <c r="D9" i="21"/>
  <c r="D13" i="21" s="1"/>
  <c r="E12" i="10"/>
  <c r="D8" i="21"/>
  <c r="E11" i="10" s="1"/>
  <c r="D25" i="10" l="1"/>
  <c r="I39" i="36"/>
  <c r="D23" i="10"/>
  <c r="C50" i="36"/>
  <c r="E7" i="19" s="1"/>
  <c r="D24" i="10"/>
  <c r="C51" i="36"/>
  <c r="E8" i="19" s="1"/>
  <c r="C40" i="10"/>
  <c r="C49" i="36"/>
  <c r="D6" i="10"/>
  <c r="D18" i="21"/>
  <c r="B46" i="10"/>
  <c r="F20" i="10" l="1"/>
  <c r="E18" i="10"/>
  <c r="C26" i="9"/>
  <c r="H8" i="36"/>
  <c r="H19" i="36"/>
  <c r="H30" i="36"/>
  <c r="F17" i="10"/>
  <c r="F18" i="10"/>
  <c r="D20" i="24"/>
  <c r="I8" i="36" l="1"/>
  <c r="I19" i="36"/>
  <c r="I30" i="36"/>
  <c r="E44" i="36"/>
  <c r="C22" i="9" l="1"/>
  <c r="N17" i="19" l="1"/>
  <c r="N16" i="19"/>
  <c r="N13" i="19"/>
  <c r="N14" i="19"/>
  <c r="N15" i="19"/>
  <c r="N9" i="19"/>
  <c r="N10" i="19"/>
  <c r="J13" i="18"/>
  <c r="K13" i="18"/>
  <c r="L13" i="18"/>
  <c r="M13" i="18"/>
  <c r="J14" i="18"/>
  <c r="K14" i="18"/>
  <c r="L14" i="18"/>
  <c r="M14" i="18"/>
  <c r="J15" i="18"/>
  <c r="K15" i="18"/>
  <c r="L15" i="18"/>
  <c r="M15" i="18"/>
  <c r="J16" i="18"/>
  <c r="K16" i="18"/>
  <c r="L16" i="18"/>
  <c r="M16" i="18"/>
  <c r="J17" i="18"/>
  <c r="K17" i="18"/>
  <c r="L17" i="18"/>
  <c r="M17" i="18"/>
  <c r="J18" i="18"/>
  <c r="K18" i="18"/>
  <c r="L18" i="18"/>
  <c r="M18" i="18"/>
  <c r="J11" i="18"/>
  <c r="K11" i="18"/>
  <c r="L11" i="18"/>
  <c r="M11" i="18"/>
  <c r="J12" i="18"/>
  <c r="K12" i="18"/>
  <c r="L12" i="18"/>
  <c r="M12" i="18"/>
  <c r="J10" i="18"/>
  <c r="K10" i="18"/>
  <c r="L10" i="18"/>
  <c r="M10" i="18"/>
  <c r="N18" i="18" l="1"/>
  <c r="N13" i="18"/>
  <c r="N16" i="18"/>
  <c r="N15" i="18"/>
  <c r="N17" i="18"/>
  <c r="N14" i="18"/>
  <c r="N12" i="18"/>
  <c r="N11" i="18"/>
  <c r="N10" i="18"/>
  <c r="E10" i="10" l="1"/>
  <c r="E17" i="10" s="1"/>
  <c r="J7" i="18"/>
  <c r="D12" i="21" l="1"/>
  <c r="D22" i="24" l="1"/>
  <c r="D21" i="24"/>
  <c r="H12" i="36" s="1"/>
  <c r="E16" i="10"/>
  <c r="G16" i="10" s="1"/>
  <c r="E20" i="10" l="1"/>
  <c r="G20" i="10" s="1"/>
  <c r="H9" i="36"/>
  <c r="H22" i="36"/>
  <c r="I22" i="36" s="1"/>
  <c r="H31" i="36"/>
  <c r="H33" i="36"/>
  <c r="I33" i="36" s="1"/>
  <c r="H34" i="36"/>
  <c r="I34" i="36" s="1"/>
  <c r="I12" i="36"/>
  <c r="H20" i="36"/>
  <c r="H11" i="36"/>
  <c r="I11" i="36" s="1"/>
  <c r="H23" i="36"/>
  <c r="I23" i="36" s="1"/>
  <c r="H21" i="36"/>
  <c r="I21" i="36" s="1"/>
  <c r="H37" i="36"/>
  <c r="I37" i="36" s="1"/>
  <c r="H32" i="36"/>
  <c r="I32" i="36" s="1"/>
  <c r="H10" i="36"/>
  <c r="I10" i="36" s="1"/>
  <c r="H36" i="36"/>
  <c r="I36" i="36" s="1"/>
  <c r="H35" i="36"/>
  <c r="I35" i="36" s="1"/>
  <c r="E45" i="10"/>
  <c r="C47" i="10"/>
  <c r="E47" i="10"/>
  <c r="C48" i="10"/>
  <c r="E48" i="10"/>
  <c r="C49" i="10"/>
  <c r="E49" i="10"/>
  <c r="C50" i="10"/>
  <c r="E50" i="10"/>
  <c r="B51" i="10"/>
  <c r="B50" i="10"/>
  <c r="B48" i="10"/>
  <c r="B49" i="10"/>
  <c r="B47" i="10"/>
  <c r="E44" i="10"/>
  <c r="B45" i="10"/>
  <c r="B44" i="10"/>
  <c r="O17" i="18" l="1"/>
  <c r="M6" i="10"/>
  <c r="M16" i="10"/>
  <c r="O16" i="18"/>
  <c r="M7" i="10"/>
  <c r="I9" i="36"/>
  <c r="D49" i="36"/>
  <c r="I31" i="36"/>
  <c r="I41" i="36" s="1"/>
  <c r="O15" i="18" s="1"/>
  <c r="Q15" i="18" s="1"/>
  <c r="D51" i="36"/>
  <c r="I20" i="36"/>
  <c r="I26" i="36" s="1"/>
  <c r="I27" i="36" s="1"/>
  <c r="O14" i="18" s="1"/>
  <c r="D50" i="36"/>
  <c r="E19" i="10"/>
  <c r="G19" i="10" s="1"/>
  <c r="O12" i="18" s="1"/>
  <c r="G18" i="10"/>
  <c r="O10" i="18" s="1"/>
  <c r="E46" i="10"/>
  <c r="Q17" i="18" l="1"/>
  <c r="P17" i="18"/>
  <c r="E16" i="19"/>
  <c r="Q16" i="18"/>
  <c r="E15" i="19"/>
  <c r="M8" i="10"/>
  <c r="D26" i="10"/>
  <c r="M24" i="10" s="1"/>
  <c r="O13" i="18"/>
  <c r="E12" i="19" s="1"/>
  <c r="E13" i="19"/>
  <c r="Q14" i="18"/>
  <c r="O24" i="18"/>
  <c r="P12" i="18"/>
  <c r="Q12" i="18"/>
  <c r="E11" i="19"/>
  <c r="Q10" i="18"/>
  <c r="E9" i="19"/>
  <c r="O26" i="18"/>
  <c r="O18" i="18"/>
  <c r="O28" i="18" s="1"/>
  <c r="M17" i="10"/>
  <c r="E14" i="19"/>
  <c r="O25" i="18"/>
  <c r="M9" i="10"/>
  <c r="M10" i="10" s="1"/>
  <c r="D28" i="10"/>
  <c r="M26" i="10" s="1"/>
  <c r="D27" i="10"/>
  <c r="M25" i="10" s="1"/>
  <c r="G17" i="10"/>
  <c r="O11" i="18" s="1"/>
  <c r="M15" i="10"/>
  <c r="M18" i="10" s="1"/>
  <c r="M33" i="10" s="1"/>
  <c r="M39" i="10" s="1"/>
  <c r="P10" i="18"/>
  <c r="K7" i="18"/>
  <c r="L7" i="18"/>
  <c r="M7" i="18"/>
  <c r="J8" i="18"/>
  <c r="K8" i="18"/>
  <c r="L8" i="18"/>
  <c r="M8" i="18"/>
  <c r="J9" i="18"/>
  <c r="K9" i="18"/>
  <c r="L9" i="18"/>
  <c r="M9" i="18"/>
  <c r="I16" i="19" l="1"/>
  <c r="H16" i="19"/>
  <c r="I9" i="19"/>
  <c r="H9" i="19"/>
  <c r="P18" i="18"/>
  <c r="P28" i="18" s="1"/>
  <c r="Q18" i="18"/>
  <c r="Q28" i="18" s="1"/>
  <c r="E17" i="19"/>
  <c r="M27" i="10"/>
  <c r="O23" i="18"/>
  <c r="Q13" i="18"/>
  <c r="P13" i="18"/>
  <c r="I12" i="19"/>
  <c r="H12" i="19"/>
  <c r="P11" i="18"/>
  <c r="P27" i="18" s="1"/>
  <c r="Q11" i="18"/>
  <c r="Q27" i="18" s="1"/>
  <c r="E10" i="19"/>
  <c r="O27" i="18"/>
  <c r="M19" i="10"/>
  <c r="Q26" i="18"/>
  <c r="P16" i="18"/>
  <c r="P26" i="18" s="1"/>
  <c r="N7" i="18"/>
  <c r="Q7" i="18" s="1"/>
  <c r="N9" i="18"/>
  <c r="N8" i="18"/>
  <c r="N23" i="18"/>
  <c r="E6" i="19"/>
  <c r="D6" i="19"/>
  <c r="N6" i="19" s="1"/>
  <c r="N7" i="19"/>
  <c r="N8" i="19"/>
  <c r="N12" i="19"/>
  <c r="N11" i="19"/>
  <c r="C6" i="19"/>
  <c r="I5" i="19"/>
  <c r="H5" i="19"/>
  <c r="E5" i="19"/>
  <c r="D5" i="19"/>
  <c r="C5" i="19"/>
  <c r="C33" i="9" l="1"/>
  <c r="M34" i="10"/>
  <c r="M41" i="10" s="1"/>
  <c r="O29" i="18"/>
  <c r="K15" i="19" s="1"/>
  <c r="H17" i="19"/>
  <c r="I17" i="19"/>
  <c r="M40" i="10"/>
  <c r="C36" i="9" s="1"/>
  <c r="M28" i="10"/>
  <c r="H10" i="19"/>
  <c r="I10" i="19"/>
  <c r="P7" i="18"/>
  <c r="P23" i="18" s="1"/>
  <c r="P9" i="18"/>
  <c r="Q9" i="18"/>
  <c r="Q25" i="18" s="1"/>
  <c r="P8" i="18"/>
  <c r="Q8" i="18"/>
  <c r="Q24" i="18" s="1"/>
  <c r="P14" i="18"/>
  <c r="P15" i="18"/>
  <c r="Q23" i="18"/>
  <c r="H14" i="19"/>
  <c r="I14" i="19"/>
  <c r="H15" i="19"/>
  <c r="I15" i="19"/>
  <c r="H13" i="19"/>
  <c r="I13" i="19"/>
  <c r="H8" i="19"/>
  <c r="I8" i="19"/>
  <c r="H7" i="19"/>
  <c r="I7" i="19"/>
  <c r="I6" i="19"/>
  <c r="J7" i="19" l="1"/>
  <c r="J13" i="19"/>
  <c r="Q29" i="18"/>
  <c r="C40" i="9" s="1"/>
  <c r="J12" i="19"/>
  <c r="K6" i="19"/>
  <c r="J6" i="19"/>
  <c r="C35" i="9"/>
  <c r="K9" i="19"/>
  <c r="K7" i="19"/>
  <c r="J15" i="19"/>
  <c r="J9" i="19"/>
  <c r="K14" i="19"/>
  <c r="K8" i="19"/>
  <c r="K13" i="19"/>
  <c r="K12" i="19"/>
  <c r="O30" i="18"/>
  <c r="M42" i="10"/>
  <c r="J16" i="19"/>
  <c r="J10" i="19"/>
  <c r="K16" i="19"/>
  <c r="K10" i="19"/>
  <c r="J14" i="19"/>
  <c r="J8" i="19"/>
  <c r="P25" i="18"/>
  <c r="P24" i="18"/>
  <c r="C34" i="9"/>
  <c r="P29" i="18" l="1"/>
  <c r="C41" i="9" s="1"/>
  <c r="L6" i="19"/>
  <c r="M6" i="19"/>
  <c r="M9" i="19"/>
  <c r="M15" i="19"/>
  <c r="L9" i="19"/>
  <c r="L15" i="19"/>
  <c r="M10" i="19"/>
  <c r="M16" i="19"/>
  <c r="L10" i="19"/>
  <c r="L16" i="19"/>
  <c r="L7" i="19"/>
  <c r="L13" i="19"/>
  <c r="L8" i="19"/>
  <c r="M8" i="19"/>
  <c r="L14" i="19"/>
  <c r="M12" i="19"/>
  <c r="L12" i="19"/>
  <c r="M7" i="19"/>
  <c r="M13" i="19"/>
  <c r="M14" i="19"/>
  <c r="P30" i="18" l="1"/>
  <c r="Q30" i="18"/>
  <c r="B5" i="10"/>
  <c r="I11" i="19" l="1"/>
  <c r="H11" i="19"/>
  <c r="K17" i="19" l="1"/>
  <c r="M17" i="19" s="1"/>
  <c r="K11" i="19"/>
  <c r="M11" i="19" s="1"/>
  <c r="J17" i="19"/>
  <c r="L17" i="19" s="1"/>
  <c r="J11" i="19"/>
  <c r="L1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tc={314EA2B7-DC60-48E0-8767-91B7CCFAA7A7}</author>
  </authors>
  <commentList>
    <comment ref="W25" authorId="0" shapeId="0" xr:uid="{314EA2B7-DC60-48E0-8767-91B7CCFAA7A7}">
      <text>
        <t>[Threaded comment]
Your version of Excel allows you to read this threaded comment; however, any edits to it will get removed if the file is opened in a newer version of Excel. Learn more: https://go.microsoft.com/fwlink/?linkid=870924
Comment:
    Adjust that these are negative valies and fix the cjart</t>
      </text>
    </comment>
  </commentList>
</comments>
</file>

<file path=xl/sharedStrings.xml><?xml version="1.0" encoding="utf-8"?>
<sst xmlns="http://schemas.openxmlformats.org/spreadsheetml/2006/main" count="912" uniqueCount="460">
  <si>
    <t>Disclaimer for European Parliament Pilot Project – European Green Digital Coalition (EGDC) Case Studies</t>
  </si>
  <si>
    <t>The following disclaimer is intended to provide clarity and context for the case studies prepared as part of the Phase 2 - EGDC Moves to Action, which have showcased the net carbon impact of specific digital solutions using the EGDC ICT Methodology developed during the project:</t>
  </si>
  <si>
    <t>1. Purpose of the Case Studies:</t>
  </si>
  <si>
    <t>The case studies served multiple purposes, including:</t>
  </si>
  <si>
    <r>
      <t>1. Development of the Methodology:</t>
    </r>
    <r>
      <rPr>
        <sz val="10"/>
        <color theme="1"/>
        <rFont val="Lora"/>
      </rPr>
      <t xml:space="preserve"> They contributed to the development of the EGDC ICT Methodology. These case studies were conducted concurrently with the methodology's creation and served as a valuable testing ground for its initial formulation.</t>
    </r>
  </si>
  <si>
    <r>
      <t>2. Application Examples:</t>
    </r>
    <r>
      <rPr>
        <sz val="10"/>
        <color theme="1"/>
        <rFont val="Lora"/>
      </rPr>
      <t xml:space="preserve"> They provided practical examples of how the methodology can be applied to real-life use cases. These case studies were essential in demonstrating the practicality and effectiveness of the methodology when applied to concrete situations.</t>
    </r>
  </si>
  <si>
    <r>
      <t>3. Identification of Improvement Areas:</t>
    </r>
    <r>
      <rPr>
        <sz val="10"/>
        <color theme="1"/>
        <rFont val="Lora"/>
      </rPr>
      <t xml:space="preserve"> By conducting these case studies, we aimed to highlight parts of the calculation in need of improvement. They shed light on the challenges and limitations inherent in using available data and indicated the necessary steps to move towards best practices in assessing net carbon impacts.</t>
    </r>
  </si>
  <si>
    <t>2. Data Quality as a Key Determinant:</t>
  </si>
  <si>
    <t>It is imperative to emphasize that data quality is a fundamental determinant of the quality and reliability of the case studies. The accuracy and completeness of the data used significantly influence the outcomes and findings of these case studies.</t>
  </si>
  <si>
    <t>It is essential to acknowledge that the data available for each case study may differ in terms of accuracy, granularity, and coverage. As a result, the case studies may not necessarily represent the best practice application of the EGDC ICT Methodology. Instead, they reflect the application of the methodology at various stages of data availability.</t>
  </si>
  <si>
    <t>3. Liability for Errors/Omissions:</t>
  </si>
  <si>
    <t>While reasonable steps have been taken to ensure that the information contained within the case studies is correct, the EGDC gives no warranty and makes no representation as to its accuracy. We accept no liability for any errors or omissions that may be present in the case studies, methodology, or related information. Users and readers are advised to exercise their judgment and seek further clarification if needed, as the information provided may evolve over time and depend on external factors beyond our control.</t>
  </si>
  <si>
    <t>4. Appropriate Use of the Case Study Calculators:</t>
  </si>
  <si>
    <t>The case study calculators are intended for educational and informational purposes. They rely on certain assumptions and input data to generate results.</t>
  </si>
  <si>
    <t>The results of the calculators are specific to the implementation of the ICT solution and may not be representative for other implementation contexts.</t>
  </si>
  <si>
    <t>As such, it is imperative for users to refrain from directly extrapolating these results to ICT solutions or implementation contexts that may seem conceptually similar.</t>
  </si>
  <si>
    <t>Instead, users are advised to use the calculators as a means to understand the practical application of the EGDC ICT Methodology, thereby equipping themselves with the knowledge required to develop customized calculators specifically tailored to their unique ICT solutions and implementation circumstances.</t>
  </si>
  <si>
    <t>In conclusion, these case studies provide valuable insights into the calculation of the net carbon impact of digital solutions through the practical application of the EGDC ICT Methodology. However, it is vital to exercise caution when interpreting the results, considering the variances in data quality and the evolving nature of the methodology. The findings are indicative of the methodology's potential and its room for refinement as we work towards more accurate and comprehensive assessments of net carbon impacts.</t>
  </si>
  <si>
    <t>Overview</t>
  </si>
  <si>
    <t xml:space="preserve">QUHOMA is a Smart farming solution which uses IoT sensors and (open-source) software to mitigate the impact of changing weather conditions on crops.
By remotely understanding the agroenvironmental conditions of the microclimate in various parcels, the farmer can treat plots differently and optimise according to the current and forecasted weather conditions. 
Wind speed measurements help the farmer understand if a spraying application would be effective or not. Wind is also a factor of how fast water leaves the soil of the farmer’s land and the leaves of its cultivation. The evapotranspiration is an indication of how much water should be re-applied in the lands, which enables dynamic irrigation cycles.
Soil elements like moisture, electrical conductivity and salinity are additional measurements of the water volume close to the plants’ roots captured by the IoT soil sensors. 
Software features can group these parameters for the favor of the system user while data analyses and artificial intelligence can timely inform the farmer of any potential risks. Eventually, an average user of QUHOMA can quickly reap the benefits of IoT, Cloud, AI and the relevant technologies. </t>
  </si>
  <si>
    <t>Scenarios</t>
  </si>
  <si>
    <t>Reference Scenario(s)</t>
  </si>
  <si>
    <t>Agriculture practices follow conventional methods. Farmers rely on fixed schedules from previous experience to determine irrigation and use of fertilizer. Farm management relies on field visits.</t>
  </si>
  <si>
    <t>Solution Scenario(s)</t>
  </si>
  <si>
    <t>QUHOMA is a Smart farming solution which uses IoT sensors and (open-source) software to mitigate the impact of changing weather conditions on crops.</t>
  </si>
  <si>
    <t>Functional Unit</t>
  </si>
  <si>
    <t>kgCO2e per ha per cultivation cycle</t>
  </si>
  <si>
    <t>Context</t>
  </si>
  <si>
    <t>Implementation Context</t>
  </si>
  <si>
    <t>Crop Type</t>
  </si>
  <si>
    <t>Olive varieties Olea Kalamon, Olea Manaki, Olea Koutsourelia</t>
  </si>
  <si>
    <t>in relation to the functional unit</t>
  </si>
  <si>
    <t>Geography</t>
  </si>
  <si>
    <t>Sparta, Greece</t>
  </si>
  <si>
    <t>Time period of cultivation cycles</t>
  </si>
  <si>
    <t xml:space="preserve"> 2021 and 2022, 2023 and 2024</t>
  </si>
  <si>
    <t>Required Inputs</t>
  </si>
  <si>
    <t>Field size (ha)</t>
  </si>
  <si>
    <t>Inputs</t>
  </si>
  <si>
    <t>Solution Optional Adjustments</t>
  </si>
  <si>
    <t>Defaults</t>
  </si>
  <si>
    <t>Manual Override (add value)</t>
  </si>
  <si>
    <t>Water (m3/ha)</t>
  </si>
  <si>
    <t>Fuel use diesel (litres)</t>
  </si>
  <si>
    <t>Electricity use (kWh)</t>
  </si>
  <si>
    <t>Results</t>
  </si>
  <si>
    <t>Percentage saving of emissions through use of solution</t>
  </si>
  <si>
    <t>%</t>
  </si>
  <si>
    <t>Net carbon impact of solution per hectare per cultivation cycle</t>
  </si>
  <si>
    <t>kgCO2e/ha</t>
  </si>
  <si>
    <t>Total net carbon impact of solution per cultivation cycle</t>
  </si>
  <si>
    <t>kgCO2e</t>
  </si>
  <si>
    <t>tCO2e</t>
  </si>
  <si>
    <t>Uncertainty Analysis Results</t>
  </si>
  <si>
    <t>Total net carbon impact (lower range)</t>
  </si>
  <si>
    <t>tCO2e / average cultivation cycle</t>
  </si>
  <si>
    <t>Total net carbon impact (higher range)</t>
  </si>
  <si>
    <t>Calculation</t>
  </si>
  <si>
    <t>Explanation/Notes</t>
  </si>
  <si>
    <t>Unit</t>
  </si>
  <si>
    <t>Reference Scenario (2021/22)</t>
  </si>
  <si>
    <t>Calculation Step</t>
  </si>
  <si>
    <t>Formula (Written Out)</t>
  </si>
  <si>
    <t>Value</t>
  </si>
  <si>
    <t>Fuel use (diesel)</t>
  </si>
  <si>
    <t>Fuel quantity * emission factor</t>
  </si>
  <si>
    <t>Water use</t>
  </si>
  <si>
    <t>Water quantity * emission factor</t>
  </si>
  <si>
    <t>Optional Adjustments - Reference scenario</t>
  </si>
  <si>
    <t>Reference</t>
  </si>
  <si>
    <t>Electricity usage for irrigation</t>
  </si>
  <si>
    <t>Electricity quantity * emission factor</t>
  </si>
  <si>
    <t>Yield</t>
  </si>
  <si>
    <t>kg</t>
  </si>
  <si>
    <t>Reference scenario emissions</t>
  </si>
  <si>
    <t>Sum of emissions ofdiesel + water use + electricity for irrigation</t>
  </si>
  <si>
    <t>litres</t>
  </si>
  <si>
    <t xml:space="preserve">Total emissions per hectare </t>
  </si>
  <si>
    <t>Total reference emissions/hectare</t>
  </si>
  <si>
    <t>Water Use</t>
  </si>
  <si>
    <t>m3/ha</t>
  </si>
  <si>
    <t>kWh</t>
  </si>
  <si>
    <t>Solution Scenario (2023/24)</t>
  </si>
  <si>
    <t>Change Factors From Future Intelligence</t>
  </si>
  <si>
    <t>Data before solution</t>
  </si>
  <si>
    <t>Data after solution</t>
  </si>
  <si>
    <t xml:space="preserve">Difference </t>
  </si>
  <si>
    <t>Average yield</t>
  </si>
  <si>
    <t>kg/ha</t>
  </si>
  <si>
    <t>m3</t>
  </si>
  <si>
    <t>Solution scenario emissions</t>
  </si>
  <si>
    <t>Total solution emissions/hectare</t>
  </si>
  <si>
    <t>Kg of product</t>
  </si>
  <si>
    <t>Hardware components</t>
  </si>
  <si>
    <t>Units</t>
  </si>
  <si>
    <t xml:space="preserve">First Order Effects -ICT Solution Scenario Emissions </t>
  </si>
  <si>
    <t>IoT MicroClimate sensor station (SOIL-LEAF)</t>
  </si>
  <si>
    <t>Sum of all materials weight</t>
  </si>
  <si>
    <t>IoT MicroClimate sensor station (SOIL-PH)</t>
  </si>
  <si>
    <t>IoT MicroClimate sensor station (SOIL-LEAF) - lifecycle emissions</t>
  </si>
  <si>
    <t>IoT MicroClimate sensor station (SOIL-LEAF)  embodied emissions / lifetime * number of sensors</t>
  </si>
  <si>
    <t>IoT WeatherStation sensor station (AIR – WIND – RAIN – SOLAR)</t>
  </si>
  <si>
    <t>IoT MicroClimate sensor station (SOIL-PH) lifecycle emissions</t>
  </si>
  <si>
    <t xml:space="preserve">IoT MicroClimate sensor station (SOIL-PH) embodied emissions / lifetime * number of sensors </t>
  </si>
  <si>
    <t>Sum of all materials</t>
  </si>
  <si>
    <t>IoT WeatherStation sensor station (AIR – WIND – RAIN – SOLAR) lifecycle emissions</t>
  </si>
  <si>
    <t xml:space="preserve">IoT WeatherStation sensor station (AIR – WIND – RAIN – SOLAR)  embodied emissions / lifetime * number of sensors </t>
  </si>
  <si>
    <t>Sum of first order effects</t>
  </si>
  <si>
    <t>Sum of all sensor lifecycle emissions</t>
  </si>
  <si>
    <t>Sum of first order effects per hectare</t>
  </si>
  <si>
    <t>Sum of all first order effects/total hectare covered</t>
  </si>
  <si>
    <t>Sensor stations lifetime</t>
  </si>
  <si>
    <t>years</t>
  </si>
  <si>
    <t>Amount of batteries</t>
  </si>
  <si>
    <t xml:space="preserve">Lifetime of battery </t>
  </si>
  <si>
    <t>Second Order Effects - Scenario Comparison</t>
  </si>
  <si>
    <t xml:space="preserve">Battery </t>
  </si>
  <si>
    <t>Total cultivation cycle second order effect</t>
  </si>
  <si>
    <t>Annual emissions related to before the solution was implemented - Annual emissions related to after the solution was implemented</t>
  </si>
  <si>
    <t>Quantity of sensors</t>
  </si>
  <si>
    <t>Cultivation cycle second order effect (per ha)</t>
  </si>
  <si>
    <t>Net carbon impact (functional unit = kgCO2e / ha)</t>
  </si>
  <si>
    <t>Components</t>
  </si>
  <si>
    <t>Weight of all Materials (kg)</t>
  </si>
  <si>
    <t>Total Net carbon impact</t>
  </si>
  <si>
    <t xml:space="preserve">Total cultivation cycle second order effects + first order effects </t>
  </si>
  <si>
    <t>All Materials of First order effects</t>
  </si>
  <si>
    <t>Net carbon impact</t>
  </si>
  <si>
    <t>Total net carbon impact / 1000</t>
  </si>
  <si>
    <t>Net carbon impact per cultivation cycle second per ha</t>
  </si>
  <si>
    <t xml:space="preserve">Second order effects per cultivation cycle per hectare + first order effects per hectare </t>
  </si>
  <si>
    <t>Net carbon impact per cultivation cycle per ha / 1000</t>
  </si>
  <si>
    <t>tCO2e/ha</t>
  </si>
  <si>
    <t>Emission Factors</t>
  </si>
  <si>
    <t>kgCO2e/m3</t>
  </si>
  <si>
    <t>kgCO2e/l</t>
  </si>
  <si>
    <t>kgCO2e/kWh</t>
  </si>
  <si>
    <t>kgCO2e/kg</t>
  </si>
  <si>
    <t>Uncertainty Analysis</t>
  </si>
  <si>
    <t>This analysis assesses the uncertainty in the quality of the data inputs.</t>
  </si>
  <si>
    <t>Qualitative Assessment of Data Quality</t>
  </si>
  <si>
    <t>Quantitative assessment of data quality</t>
  </si>
  <si>
    <t>Impact of Uncertainty on Net Carbon Impact</t>
  </si>
  <si>
    <t>Data type</t>
  </si>
  <si>
    <t>Impact effect</t>
  </si>
  <si>
    <t>Description of effect</t>
  </si>
  <si>
    <t>Activity</t>
  </si>
  <si>
    <t xml:space="preserve">Time </t>
  </si>
  <si>
    <t xml:space="preserve">Reliability </t>
  </si>
  <si>
    <t>Completeness</t>
  </si>
  <si>
    <t>SD</t>
  </si>
  <si>
    <t>Input data</t>
  </si>
  <si>
    <t>Input data with SD (higher range)</t>
  </si>
  <si>
    <t>Input data with SD (lower range)</t>
  </si>
  <si>
    <t>Activity Data</t>
  </si>
  <si>
    <t xml:space="preserve">1st order </t>
  </si>
  <si>
    <t>Very good</t>
  </si>
  <si>
    <t xml:space="preserve">Good </t>
  </si>
  <si>
    <t xml:space="preserve">2nd order </t>
  </si>
  <si>
    <t>Water</t>
  </si>
  <si>
    <t xml:space="preserve">Diesel </t>
  </si>
  <si>
    <t xml:space="preserve">Electricity </t>
  </si>
  <si>
    <t>Emission factors</t>
  </si>
  <si>
    <t>Fair</t>
  </si>
  <si>
    <t>Data quality criteria and scoring</t>
  </si>
  <si>
    <t>Emissions (kgCO2e)</t>
  </si>
  <si>
    <t>Data Quality Criteria</t>
  </si>
  <si>
    <t>Very Good</t>
  </si>
  <si>
    <t>Good</t>
  </si>
  <si>
    <t>Poor</t>
  </si>
  <si>
    <t>Activity representativeness</t>
  </si>
  <si>
    <t>Specific activity type</t>
  </si>
  <si>
    <t>Same generic activity type</t>
  </si>
  <si>
    <t>Different generic activity type</t>
  </si>
  <si>
    <t>Proxy activity</t>
  </si>
  <si>
    <t>Temporal representativeness</t>
  </si>
  <si>
    <t>Covers entire relevant time period</t>
  </si>
  <si>
    <t>Sample of relevant time period for more than 50% of time period</t>
  </si>
  <si>
    <t>Sample of relevant time period for less than 50% of time period</t>
  </si>
  <si>
    <t>Not a relevant time period</t>
  </si>
  <si>
    <t>Geographical representativeness</t>
  </si>
  <si>
    <t>Covers all of the relevant geography</t>
  </si>
  <si>
    <t>Sample of relevant geography for more than 50% of geography</t>
  </si>
  <si>
    <t>Sample of relevant geography for less than 50% of geography</t>
  </si>
  <si>
    <t>Not a relevant geography</t>
  </si>
  <si>
    <t>Full dataset</t>
  </si>
  <si>
    <t>Significant sample / coverage</t>
  </si>
  <si>
    <t>Small sample / Incomplete coverage, use of reasonable/data backed assumptions to fill data gaps</t>
  </si>
  <si>
    <t>Small sample / Incomplete coverage / data gaps filled with assumptions not backed by data</t>
  </si>
  <si>
    <t>Total carbon savings enabled (tCO2e)</t>
  </si>
  <si>
    <t>Reliability</t>
  </si>
  <si>
    <t>Primary measured data / Publicly available from an internationally renowned source</t>
  </si>
  <si>
    <t>Publicly available with transparent high-quality methods / Primary survey data with high-quality methods</t>
  </si>
  <si>
    <t>Secondary data and proxies that are justified by strong evidence/reliable sources</t>
  </si>
  <si>
    <t>Secondary data that is not publicly available / from a reliable source</t>
  </si>
  <si>
    <t>Error values (tCO2e)</t>
  </si>
  <si>
    <t>Source: EGDC ICT Methodology</t>
  </si>
  <si>
    <t>Adapted from: Greenhouse Gas Protocol, Quantitative Inventory Uncertainty, https://ghgprotocol.org/sites/default/files/2022-12/Quantitative%20Uncertainty%20Guidance.pdf</t>
  </si>
  <si>
    <t>Sensitivity Analysis</t>
  </si>
  <si>
    <t>This analysis aims to show the impact of varying the inputs to the net imapct calculation in different implementation contexts.</t>
  </si>
  <si>
    <t>% variation of input (higher)</t>
  </si>
  <si>
    <t>% variation of input (lower)</t>
  </si>
  <si>
    <t>Net carbon impact (kgCO2e) - higher range</t>
  </si>
  <si>
    <t>Net carbon impact (kgCO2e) - lower range</t>
  </si>
  <si>
    <t>Percentage change to net carbon impact - higher range</t>
  </si>
  <si>
    <t>Percentage change to net carbon impact - lower range</t>
  </si>
  <si>
    <t>Description of change</t>
  </si>
  <si>
    <t>activity data</t>
  </si>
  <si>
    <t>emission factor</t>
  </si>
  <si>
    <t>KEY</t>
  </si>
  <si>
    <t>Data input</t>
  </si>
  <si>
    <t>QUHOMA- Description of digital equipment and its consumables</t>
  </si>
  <si>
    <t>Quantities</t>
  </si>
  <si>
    <t>Location</t>
  </si>
  <si>
    <t>Material</t>
  </si>
  <si>
    <t>Weight (kg)</t>
  </si>
  <si>
    <t>Total Weight (kg)</t>
  </si>
  <si>
    <t>EF</t>
  </si>
  <si>
    <t>Deployment pictures</t>
  </si>
  <si>
    <t>MC Node  (board+case)</t>
  </si>
  <si>
    <t>Italy</t>
  </si>
  <si>
    <t xml:space="preserve">Board : FR-4 (woven fiberglass cloth impregnated with epoxy resin)               
Resistors : ceramic and glass                                                            
Capacitors : ceramic dielectrics and metal electrodes                              
Other components material : silicon, plastic, ceramic, metal, tantalum metal. Case: IP68 Plastic </t>
  </si>
  <si>
    <t>PV PANEL</t>
  </si>
  <si>
    <t>USA</t>
  </si>
  <si>
    <t>PCB (epoxy and copper) – Ethylene tetrafluoroethylene – rubber</t>
  </si>
  <si>
    <t xml:space="preserve">mounting HARDWARE </t>
  </si>
  <si>
    <t>Greece</t>
  </si>
  <si>
    <t>galvanized steel, electrostatic coating</t>
  </si>
  <si>
    <t>Sensor1</t>
  </si>
  <si>
    <t>China</t>
  </si>
  <si>
    <t>plastic, rubber</t>
  </si>
  <si>
    <t>Sensor2</t>
  </si>
  <si>
    <t>Lithium Batteries</t>
  </si>
  <si>
    <t>3.6V AA Lithium Battery (source LoRaWAN Wireless Sensor Datasheet)</t>
  </si>
  <si>
    <t xml:space="preserve">EoL </t>
  </si>
  <si>
    <t>Total</t>
  </si>
  <si>
    <t xml:space="preserve">Annualised </t>
  </si>
  <si>
    <t>sensor2</t>
  </si>
  <si>
    <t>Slovakia</t>
  </si>
  <si>
    <t>Sensor3</t>
  </si>
  <si>
    <t>plastic, rubber, metals</t>
  </si>
  <si>
    <t>Sensor4</t>
  </si>
  <si>
    <t>Sensor Shield</t>
  </si>
  <si>
    <t>UK</t>
  </si>
  <si>
    <t xml:space="preserve">Total </t>
  </si>
  <si>
    <t>Amount</t>
  </si>
  <si>
    <t>Lifetime</t>
  </si>
  <si>
    <t>Comment</t>
  </si>
  <si>
    <t>Source</t>
  </si>
  <si>
    <t xml:space="preserve">10 year life time assumed. 2 lithium batteries per sensor. </t>
  </si>
  <si>
    <t>All Sensors</t>
  </si>
  <si>
    <t>10 year life time assumed</t>
  </si>
  <si>
    <t>Weather Station Sensor Maintenance and Guide 2015</t>
  </si>
  <si>
    <t>Uncertainty Analysis figures</t>
  </si>
  <si>
    <t>Activity data</t>
  </si>
  <si>
    <t>Battery</t>
  </si>
  <si>
    <t>Data Request: Future Intelligence - QUHOMA</t>
  </si>
  <si>
    <t xml:space="preserve">The data provided in table below is the only data utilised within the case study calculator. This was provided by Future Intelligence in the information below within the data request. </t>
  </si>
  <si>
    <t>Item</t>
  </si>
  <si>
    <t>Used For Calculations</t>
  </si>
  <si>
    <t>Comments</t>
  </si>
  <si>
    <t>Field size</t>
  </si>
  <si>
    <t>hectare</t>
  </si>
  <si>
    <t>Olea Kalamon yield</t>
  </si>
  <si>
    <t>tonnes</t>
  </si>
  <si>
    <t>Values are used to create an average yield for all olive varieties in the reference data tab.</t>
  </si>
  <si>
    <t>Olea Manaki yield</t>
  </si>
  <si>
    <t>Olea Koutsourelia / ladoelia yield</t>
  </si>
  <si>
    <t>Volume of irrigation 2021</t>
  </si>
  <si>
    <t>Volume of irrigation 2022</t>
  </si>
  <si>
    <t>Electricity usage for irrigation 2021</t>
  </si>
  <si>
    <t>Electricity usage for irrigation 2022</t>
  </si>
  <si>
    <t>l/ha</t>
  </si>
  <si>
    <t>Solution</t>
  </si>
  <si>
    <t>Volume of irrigation 2023 and 2024</t>
  </si>
  <si>
    <t xml:space="preserve"> An average has been calculated for the volume of water used for irrigation in 2023 and 2024.</t>
  </si>
  <si>
    <t>Electricity usage for irrigation 2023 and 2024</t>
  </si>
  <si>
    <t xml:space="preserve"> An average has been calculated for the electricity used for irrigation in 2023 and 2024.</t>
  </si>
  <si>
    <t>Future Intelligence - QUHOMA</t>
  </si>
  <si>
    <t>Assessment boundary</t>
  </si>
  <si>
    <t>Please provide a complete list of contextual factors that might impact the emission reductions e.g., Assessment timeframe, geographical context, implementation context (e.g. Commercial or Industrial use case) and key parameters which may impact the emissions reductions. We have completed an initial view but please add any context we have missed</t>
  </si>
  <si>
    <r>
      <t xml:space="preserve">Geographic context:
</t>
    </r>
    <r>
      <rPr>
        <i/>
        <sz val="11"/>
        <color rgb="FF000000"/>
        <rFont val="Lora"/>
      </rPr>
      <t>If multiple locations, please provide the data requested below for each location</t>
    </r>
    <r>
      <rPr>
        <b/>
        <sz val="11"/>
        <color rgb="FF000000"/>
        <rFont val="Lora"/>
      </rPr>
      <t>.</t>
    </r>
  </si>
  <si>
    <t>Southern Greece - Sparta, Greece, {"type":"Polygon","coordinates":[[[22.542263,36.990471],[22.543196,36.991405],[22.544043,36.992407],[22.545062,36.993676],[22.544472,36.99389],[22.544011,36.99413],[22.541973,36.994421],[22.541608,36.994652],[22.54133,36.994584],[22.541094,36.994404],[22.541094,36.994233],[22.541147,36.994061],[22.541115,36.993907],[22.540922,36.993658],[22.540686,36.993444],[22.540525,36.993281],[22.540364,36.993127],[22.540343,36.99305],[22.540836,36.992853],[22.541169,36.992622],[22.541458,36.992399],[22.541726,36.992133],[22.541909,36.991593],[22.542263,36.990471]]]}</t>
  </si>
  <si>
    <t>Crop Type(s):</t>
  </si>
  <si>
    <t>Olives; varietieis : Olea Kalamon, Olea Manaki, Olea Koutsourelia</t>
  </si>
  <si>
    <t xml:space="preserve">Assesment timeframe: </t>
  </si>
  <si>
    <t>years without the solution 2021+2022 (baseline values), years with the solution 2023 (since April 23) and full cultivation cycles for 2024 +2025</t>
  </si>
  <si>
    <r>
      <t xml:space="preserve">Field size (ha):
</t>
    </r>
    <r>
      <rPr>
        <i/>
        <sz val="11"/>
        <color rgb="FF000000"/>
        <rFont val="Lora"/>
      </rPr>
      <t>If multiple locations please provide field size (ha) per crop.</t>
    </r>
  </si>
  <si>
    <r>
      <t xml:space="preserve">Olea Estates (Mr Demos Chronis) treats 3 dirrefent parcels in that geojson polygon I shared in E12: </t>
    </r>
    <r>
      <rPr>
        <b/>
        <sz val="11"/>
        <color theme="1"/>
        <rFont val="Lora"/>
      </rPr>
      <t xml:space="preserve">Olea Manaki </t>
    </r>
    <r>
      <rPr>
        <sz val="11"/>
        <color theme="1"/>
        <rFont val="Lora"/>
      </rPr>
      <t xml:space="preserve">equals 0.98ha, </t>
    </r>
    <r>
      <rPr>
        <b/>
        <sz val="11"/>
        <color theme="1"/>
        <rFont val="Lora"/>
      </rPr>
      <t xml:space="preserve">Olea Koutsourelia </t>
    </r>
    <r>
      <rPr>
        <sz val="11"/>
        <color theme="1"/>
        <rFont val="Lora"/>
      </rPr>
      <t xml:space="preserve">equals 3ha and </t>
    </r>
    <r>
      <rPr>
        <b/>
        <sz val="11"/>
        <color theme="1"/>
        <rFont val="Lora"/>
      </rPr>
      <t>Olea Kalamon 6</t>
    </r>
    <r>
      <rPr>
        <sz val="11"/>
        <color theme="1"/>
        <rFont val="Lora"/>
      </rPr>
      <t xml:space="preserve">ha. </t>
    </r>
  </si>
  <si>
    <t>Local climatic data for data period (temperature, rainfall)</t>
  </si>
  <si>
    <r>
      <t xml:space="preserve">based on 3rd part Weather Staion of the broader area (https://www.meteo.gr/climatediagrams.cfm?lgid=LGF7&amp;city_id=58)  </t>
    </r>
    <r>
      <rPr>
        <b/>
        <sz val="11"/>
        <color theme="1"/>
        <rFont val="Lora"/>
      </rPr>
      <t>avg T is 17.3oC per month and average Precipitation is 56,7mm per month</t>
    </r>
  </si>
  <si>
    <r>
      <t xml:space="preserve">Data from </t>
    </r>
    <r>
      <rPr>
        <b/>
        <i/>
        <sz val="11"/>
        <color rgb="FF2147ED"/>
        <rFont val="Lora"/>
      </rPr>
      <t>before</t>
    </r>
    <r>
      <rPr>
        <i/>
        <sz val="11"/>
        <color rgb="FF2147ED"/>
        <rFont val="Lora"/>
      </rPr>
      <t xml:space="preserve"> the solution was implemented</t>
    </r>
  </si>
  <si>
    <t xml:space="preserve"> </t>
  </si>
  <si>
    <r>
      <t xml:space="preserve">Description: </t>
    </r>
    <r>
      <rPr>
        <sz val="11"/>
        <rFont val="Lora"/>
      </rPr>
      <t xml:space="preserve"> </t>
    </r>
    <r>
      <rPr>
        <sz val="11"/>
        <color rgb="FF2147ED"/>
        <rFont val="Lora"/>
      </rPr>
      <t>please confirm whether following is correct and adjust as needed.</t>
    </r>
  </si>
  <si>
    <t xml:space="preserve">Agriculture relies on conventional agricultural practices without the adoption of smart farming techniques. Farmers rely on fixed schedules/ previous experience to determine irrigation, use of fertiliser or application of pesticides. Crop management relies on field visits. </t>
  </si>
  <si>
    <t xml:space="preserve">Data </t>
  </si>
  <si>
    <t>Crop type</t>
  </si>
  <si>
    <t xml:space="preserve">Comment </t>
  </si>
  <si>
    <t>Crop Yield by crop type</t>
  </si>
  <si>
    <t>Olea Kalamon 2022</t>
  </si>
  <si>
    <t>24tons</t>
  </si>
  <si>
    <t xml:space="preserve">all the parcels had been rented to a 3rd entity without good results. Olea estates started exploiting the farm for own benefit since 2021. as a result, Olea estates needed to perform severe prunning and other cultivation practices for recovering the productivity of the trees. this means that the firtst years yields were low. </t>
  </si>
  <si>
    <t xml:space="preserve">Olea Manaki </t>
  </si>
  <si>
    <t>2tons</t>
  </si>
  <si>
    <t>Olea Koutsourelia / ladoelia</t>
  </si>
  <si>
    <t>6 tons</t>
  </si>
  <si>
    <r>
      <rPr>
        <b/>
        <i/>
        <sz val="11"/>
        <color rgb="FF2147ED"/>
        <rFont val="Lora"/>
      </rPr>
      <t xml:space="preserve">Avoided emissions mechanism 1: </t>
    </r>
    <r>
      <rPr>
        <i/>
        <sz val="11"/>
        <color theme="1"/>
        <rFont val="Lora"/>
      </rPr>
      <t>Reduced fertiliser use</t>
    </r>
  </si>
  <si>
    <t>Fertiliser type</t>
  </si>
  <si>
    <t>Fertiliser Composition</t>
  </si>
  <si>
    <r>
      <t xml:space="preserve">Volume of fertiliser used by fertiliser type (kg per Ha)
</t>
    </r>
    <r>
      <rPr>
        <sz val="11"/>
        <color rgb="FF000000"/>
        <rFont val="Lora"/>
      </rPr>
      <t>Please provide the fertiliser composition (split for % nitrogen, phosphorous and potassium) per fertiliser type</t>
    </r>
  </si>
  <si>
    <t>N  41 kg
Zn 354 kg
B 78 kg
K 2 kg</t>
  </si>
  <si>
    <t>2021 eur1868</t>
  </si>
  <si>
    <t>euros</t>
  </si>
  <si>
    <t>2022 eur2668</t>
  </si>
  <si>
    <t>Ukraine war resulted to huge fertiliser increases</t>
  </si>
  <si>
    <r>
      <rPr>
        <b/>
        <i/>
        <sz val="11"/>
        <color rgb="FF2147ED"/>
        <rFont val="Lora"/>
      </rPr>
      <t xml:space="preserve">Avoided emissions mechanism 2: </t>
    </r>
    <r>
      <rPr>
        <i/>
        <sz val="11"/>
        <color theme="1"/>
        <rFont val="Lora"/>
      </rPr>
      <t>Reduced pesticide use</t>
    </r>
  </si>
  <si>
    <t>Pesticide type</t>
  </si>
  <si>
    <t>Composition</t>
  </si>
  <si>
    <r>
      <t xml:space="preserve">Volume of pesticide used by type (kg per ha)
</t>
    </r>
    <r>
      <rPr>
        <sz val="11"/>
        <color theme="1"/>
        <rFont val="Lora"/>
      </rPr>
      <t>Please provide the pesticide composition if available</t>
    </r>
  </si>
  <si>
    <t>organic cultivation so only Copper sulfate is applied at fixed quantities due to the fix number of trees</t>
  </si>
  <si>
    <r>
      <rPr>
        <b/>
        <i/>
        <sz val="11"/>
        <color rgb="FF2147ED"/>
        <rFont val="Lora"/>
      </rPr>
      <t xml:space="preserve">Avoided emissions mechanism 3: </t>
    </r>
    <r>
      <rPr>
        <i/>
        <sz val="11"/>
        <color rgb="FF000000"/>
        <rFont val="Lora"/>
      </rPr>
      <t>Reduced water consumption</t>
    </r>
  </si>
  <si>
    <t>Volume of irrigation (eg litres per ha)</t>
  </si>
  <si>
    <t>1010 (2021)</t>
  </si>
  <si>
    <t>1010 (2022)</t>
  </si>
  <si>
    <t>Electricity usage for irrigation (eg kWh per ha)</t>
  </si>
  <si>
    <t>2021 - 3500 kW, €550</t>
  </si>
  <si>
    <t>2022 - 3200 kW, €420</t>
  </si>
  <si>
    <t>the difference is because of the price per KWh</t>
  </si>
  <si>
    <r>
      <rPr>
        <b/>
        <i/>
        <sz val="11"/>
        <color rgb="FF2147ED"/>
        <rFont val="Lora"/>
      </rPr>
      <t xml:space="preserve">Avoided emissions mechanism 4: </t>
    </r>
    <r>
      <rPr>
        <i/>
        <sz val="11"/>
        <color rgb="FF000000"/>
        <rFont val="Lora"/>
      </rPr>
      <t>Reduced fuel consumption from supply chain</t>
    </r>
  </si>
  <si>
    <t>Fuel consumption (eg litres of diesel per ha)</t>
  </si>
  <si>
    <t>Distance traveled: 25 km one way
Consumption: 3 liters of diesel one way
Total consumption per month (back and forth from the field): 48 lt diesel per month
Average cost: with an average or €1.50 diesel per liter - €72.00 per month on fuel</t>
  </si>
  <si>
    <r>
      <t xml:space="preserve">Number of field visits or supply chain trips related to fields in assessment
</t>
    </r>
    <r>
      <rPr>
        <sz val="11"/>
        <color theme="1"/>
        <rFont val="Lora"/>
      </rPr>
      <t>Please provide vehicle type and fuel mix if available</t>
    </r>
  </si>
  <si>
    <t>At least twice a week, especially during the months of irrigation (May - September), utility truck, diesel</t>
  </si>
  <si>
    <r>
      <t xml:space="preserve">Data from </t>
    </r>
    <r>
      <rPr>
        <b/>
        <i/>
        <sz val="11"/>
        <color rgb="FF2147ED"/>
        <rFont val="Lora"/>
      </rPr>
      <t>after</t>
    </r>
    <r>
      <rPr>
        <i/>
        <sz val="11"/>
        <color rgb="FF2147ED"/>
        <rFont val="Lora"/>
      </rPr>
      <t xml:space="preserve"> the solution was implemented</t>
    </r>
  </si>
  <si>
    <r>
      <rPr>
        <b/>
        <sz val="11"/>
        <color theme="1"/>
        <rFont val="Lora"/>
      </rPr>
      <t>Description:</t>
    </r>
    <r>
      <rPr>
        <b/>
        <sz val="11"/>
        <color rgb="FF2147ED"/>
        <rFont val="Lora"/>
      </rPr>
      <t xml:space="preserve"> </t>
    </r>
    <r>
      <rPr>
        <i/>
        <sz val="11"/>
        <color rgb="FF2147ED"/>
        <rFont val="Lora"/>
      </rPr>
      <t>please confirm whether the following is correct and adjust if needed</t>
    </r>
  </si>
  <si>
    <t xml:space="preserve">QUHOMA is a smart farming solution that uses IoT sensors and software to mitigate the impact of changing weather conditions on crops. This enables data-driven agriculture and remote monitoring of crops, allowing for optimisation of fertiliser and pesticide use as well as dynamic irrigation. </t>
  </si>
  <si>
    <t xml:space="preserve">When the solution, NextGen Agri (DNA), is in use optimising farming. </t>
  </si>
  <si>
    <t>Crop Yield per crop type</t>
  </si>
  <si>
    <t xml:space="preserve">Olea Kalamon 2023 (80 years) </t>
  </si>
  <si>
    <t>8tons</t>
  </si>
  <si>
    <t>Olea Manaki (7 years old)</t>
  </si>
  <si>
    <t>trees are too young to produce great yields</t>
  </si>
  <si>
    <t xml:space="preserve">Olea Koutsourelia / ladoelia (80 years) </t>
  </si>
  <si>
    <t>Data for emissions calculations - if any emissions calculations have already been done, please share these along with the emission factors used.</t>
  </si>
  <si>
    <t>Zn 5 kg
Mn 3 kg
K 10 kg
Mg 0.8 kg
N 1.5 kg
P 2 kg
Fe 1 kg
B 0.25 kg
Fe 0.6 kg</t>
  </si>
  <si>
    <t xml:space="preserve">2021 - €1,028.00 </t>
  </si>
  <si>
    <t>QUHOMA not only supported the timely application of the fertilisers but in combination with the new fertilisation strategy it managed to reduce by 2 applications per year per parcel</t>
  </si>
  <si>
    <t>2022 - €1,112,00</t>
  </si>
  <si>
    <t>In organic cultivations, Copper sulfate is applied at fixed quantities due to the fix number of trees. So no reduction, here</t>
  </si>
  <si>
    <t>Values</t>
  </si>
  <si>
    <t>760 (2023)</t>
  </si>
  <si>
    <t>760 (2024)</t>
  </si>
  <si>
    <t xml:space="preserve">2023 - 1893 kW, €385 </t>
  </si>
  <si>
    <t>2024 - 1583 kW, €352</t>
  </si>
  <si>
    <t>Consumption: 3 liters of diesel one way
Total consumption per month (back and forth from the field): 12 lt diesel per month
Average cost: with an average or €1.50 diesel per liter - €18.00 per month on fuel</t>
  </si>
  <si>
    <t>Twice a month (May-Sep), utility truck, diesel</t>
  </si>
  <si>
    <t>Functional unit</t>
  </si>
  <si>
    <t xml:space="preserve">The relative unit of emissions reduction selected for the assessment to describe the emissions reductions per unit of the solution – this needs to include the controllable variables and can be as specific as possible </t>
  </si>
  <si>
    <t>To be added by Future Intelligence - for example per kg of product per ha per year - GHG per ha</t>
  </si>
  <si>
    <t>Solution emissions (1st order effects)</t>
  </si>
  <si>
    <r>
      <t xml:space="preserve">The emissions associated with the full lifecycle of the solution - if not available please provide estimates or proxies.If the emissions data is not available for the components, provide the component's BOM/specs (weight and composition) and annual energy use.
Please add rows for </t>
    </r>
    <r>
      <rPr>
        <b/>
        <i/>
        <sz val="11"/>
        <color rgb="FF2147ED"/>
        <rFont val="Lora"/>
      </rPr>
      <t xml:space="preserve">all </t>
    </r>
    <r>
      <rPr>
        <i/>
        <sz val="11"/>
        <color rgb="FF2147ED"/>
        <rFont val="Lora"/>
      </rPr>
      <t xml:space="preserve">the different solution components that are </t>
    </r>
    <r>
      <rPr>
        <b/>
        <i/>
        <sz val="11"/>
        <color rgb="FF2147ED"/>
        <rFont val="Lora"/>
      </rPr>
      <t>not present in the reference scenario.</t>
    </r>
  </si>
  <si>
    <t>Component</t>
  </si>
  <si>
    <t>Number of components per unit of solution</t>
  </si>
  <si>
    <t>Emissions Value per unit of component (if available)</t>
  </si>
  <si>
    <t>Component specs (composition and weight)</t>
  </si>
  <si>
    <t>Annual energy usage (kWh/year) - if applicable</t>
  </si>
  <si>
    <r>
      <t xml:space="preserve">FINT has installed the first IoT sensors in April 23 and the customer scaled the infrastructure with a 2nd batch of sensors in February 2024 before the starting of the 2024 campaign. So for 2024 and 2025 campaigns all 3 plots / parcels are equipped with the relevant devices. All IoT sensor stations are autonomous in terms of energy supply and work off-grid. I propose the following restructure of the components list since one IoT sensor station includes </t>
    </r>
    <r>
      <rPr>
        <sz val="11"/>
        <color theme="0"/>
        <rFont val="Lora"/>
      </rPr>
      <t xml:space="preserve">the </t>
    </r>
    <r>
      <rPr>
        <b/>
        <sz val="11"/>
        <color theme="0"/>
        <rFont val="Lora"/>
      </rPr>
      <t>sensor(s), the telecom part (IoT node plus its case) that is capable of acquiring and transmitting sensor data to the Cloud every approximately 10 minutes,</t>
    </r>
    <r>
      <rPr>
        <sz val="11"/>
        <color theme="0"/>
        <rFont val="Lora"/>
      </rPr>
      <t xml:space="preserve"> the mechanical part </t>
    </r>
    <r>
      <rPr>
        <b/>
        <sz val="11"/>
        <color theme="0"/>
        <rFont val="Lora"/>
      </rPr>
      <t>(how to be deployed) and the PV panel and batteries that assure power availability</t>
    </r>
  </si>
  <si>
    <t>1 mc with 1 pH and 1 soil</t>
  </si>
  <si>
    <t>tens</t>
  </si>
  <si>
    <t>net weight 6.6kgr</t>
  </si>
  <si>
    <t>off-grid</t>
  </si>
  <si>
    <t>Italy, Poland, Greece, USA, China</t>
  </si>
  <si>
    <t>1 mc soil + leaf sensor</t>
  </si>
  <si>
    <t>1 WS with air+solar+wind+rain sensors</t>
  </si>
  <si>
    <t>net weight 12.1kgr</t>
  </si>
  <si>
    <t xml:space="preserve">Italy, Poland, Greece, USA, China, Slovakia, UK, Germany </t>
  </si>
  <si>
    <t>Cloud data processing and storage</t>
  </si>
  <si>
    <t>The IoT node acquires data every minute from the sensors which it sends over the Cloud service to the Internet to finally reach the farmers through QUHOMA's application.</t>
  </si>
  <si>
    <t>Soil moisture sensors (IoT sensors &amp; Gateways) - number per ha</t>
  </si>
  <si>
    <t>Provide in separate file if easier</t>
  </si>
  <si>
    <t>Please provide if emissions value is not available, provide in separate file if easier</t>
  </si>
  <si>
    <t>Please specify energy type</t>
  </si>
  <si>
    <t>Air sensors tracking wind, humidity &amp; temperature (IoT sensors &amp; Gateways) - number per ha</t>
  </si>
  <si>
    <t>Network infrastructure: Network type, network usage for data transfer</t>
  </si>
  <si>
    <t>AI modelling (training time required in days/hours if available)</t>
  </si>
  <si>
    <t>Satellite imagery / weather monitoring systems</t>
  </si>
  <si>
    <t xml:space="preserve">Any other components that are not present in the reference scenario (eg routers, satellites, monitors etc) </t>
  </si>
  <si>
    <t>Scenario Type</t>
  </si>
  <si>
    <t>Data</t>
  </si>
  <si>
    <t>Hectar</t>
  </si>
  <si>
    <t>ha</t>
  </si>
  <si>
    <t xml:space="preserve">Volume of irrigation </t>
  </si>
  <si>
    <t>Average of 2021 and 2022</t>
  </si>
  <si>
    <t>Fuel Consumption diesel</t>
  </si>
  <si>
    <t>l</t>
  </si>
  <si>
    <t>kwh</t>
  </si>
  <si>
    <t>Volume of irrigation</t>
  </si>
  <si>
    <t>Average of 2023 and 2024</t>
  </si>
  <si>
    <t>Electricity</t>
  </si>
  <si>
    <t>Total production fuel mix factor 2024 (Scope 2 + Scope 3 - kg CO2e/kWh)</t>
  </si>
  <si>
    <t xml:space="preserve">Greece electricity </t>
  </si>
  <si>
    <t>Source: Our World Data</t>
  </si>
  <si>
    <t>Classification</t>
  </si>
  <si>
    <t>Carbon emission factors (kg CO2e/l)</t>
  </si>
  <si>
    <t>Source: BEIS 2024</t>
  </si>
  <si>
    <t xml:space="preserve">Fuel </t>
  </si>
  <si>
    <t>Diesel</t>
  </si>
  <si>
    <t xml:space="preserve">Materials </t>
  </si>
  <si>
    <t>Carbon emission factors (kg CO2e/kg)</t>
  </si>
  <si>
    <t>Electrical items - IT</t>
  </si>
  <si>
    <t>Electrical Items</t>
  </si>
  <si>
    <t>Electrical items - small</t>
  </si>
  <si>
    <t>Batteries - Li ion</t>
  </si>
  <si>
    <t>Plastics: average plastics</t>
  </si>
  <si>
    <t>Average Plastic</t>
  </si>
  <si>
    <t>Metals</t>
  </si>
  <si>
    <t>Average Metals</t>
  </si>
  <si>
    <t xml:space="preserve">End of Life </t>
  </si>
  <si>
    <t>Recycling EF (kgCO2e/kg)</t>
  </si>
  <si>
    <t>Recycling rate percentage Greece</t>
  </si>
  <si>
    <t>Landfill EF (kgCO2e/kg)</t>
  </si>
  <si>
    <t>Landfill rate percentage Greece</t>
  </si>
  <si>
    <t>Carbon emission factors end of life (kg CO2e/kg)</t>
  </si>
  <si>
    <t>Source Waste Percentages</t>
  </si>
  <si>
    <t>End of life</t>
  </si>
  <si>
    <t>Waste recycling in Europe | Indicators | European Environment Agency (EEA)</t>
  </si>
  <si>
    <t>File</t>
  </si>
  <si>
    <t>Question</t>
  </si>
  <si>
    <t>Future Intelligence Answer</t>
  </si>
  <si>
    <t xml:space="preserve">Status </t>
  </si>
  <si>
    <t xml:space="preserve">QUHOMA_IoT sensors consumables and locations_v3 
</t>
  </si>
  <si>
    <t xml:space="preserve">To confirm, locations indicate the country from which the different components derive from?
</t>
  </si>
  <si>
    <t>yes</t>
  </si>
  <si>
    <t>Open</t>
  </si>
  <si>
    <t>Data Request - Future Intelligence - QUHOMA-Olea_v2</t>
  </si>
  <si>
    <t xml:space="preserve">The fertiliser consumption units are in kg, are these kilograms per ha? 
</t>
  </si>
  <si>
    <t xml:space="preserve">no they are not kg/ha but total fertilisers used </t>
  </si>
  <si>
    <t>Are you able to provide what type of fertiliser was used for the different years? Is it urea based?</t>
  </si>
  <si>
    <t>2021 - Zintrac (1,7% N in the form uric acid, 70,9% Zn), Botrac (6,5% N in the form uric acid, 15,5% B), Tecamin (14,4% amino acids, 7% N in the form of uric acid).
2022 - same as 2021
2023 - since we did the pruning in 2023 we only applied Tecamin (14,4% amino acids, 7% N in the form of uric acid).
2024 - Falcon Boost (K 19%, Mg 6%, Mn 5%, Zn 3%), Falcon Plus (N 10,5% in the form of ammonium nitrate, P 5%, B 0,4%), Falcon Root (Zn 16%, Mn 16%)</t>
  </si>
  <si>
    <t xml:space="preserve">The fertiliser composition provided, is this one fertiliser that is being used and has different components, eg for 2021 it's 475kg of fertiliser? With 41kg being Nitrogen component, therefore 8.6% Nitrogen?
</t>
  </si>
  <si>
    <t>no, these are different products and not a single package</t>
  </si>
  <si>
    <t xml:space="preserve">To confirm, for the year 2021 and 2022, were the same amounts of fertilisers used? Mindful of the war in Ukraine increasing the prices of fertiliser
</t>
  </si>
  <si>
    <t>Are we correct in assuming that reduced pesticide use will not be assessed and can be removed</t>
  </si>
  <si>
    <t>for pesticide control due to organic cultivation we only use copper (Cu) products and usually we do 3 applications per year, unless due to weather conditions we need more</t>
  </si>
  <si>
    <t>To confirm, did Olea Manaki produce any yield in 2023? Aknowledging the fact that the trees were young too produce yield</t>
  </si>
  <si>
    <t>there was minimal production due to the age of the trees, these trees should start full produciton in 3 years, depending on climate conditions</t>
  </si>
  <si>
    <t>There seems to be a large difference between 2021/22 yield and 2023/24/25, is this due to the pruning of the trees?</t>
  </si>
  <si>
    <t>yes, exactly beacause the field needed re-structure after some years that the fields were cultivated through outsourcing</t>
  </si>
  <si>
    <t>For the solution scenario, fertiliser use, it mentions 2021 and 2022 is this a typo? To confirm are the solution scenario years 2023/24/25?</t>
  </si>
  <si>
    <t>yes, sorry, this was a typo, the solution years refer to 2023 and 2024</t>
  </si>
  <si>
    <t>To confirm, have the different values been aggregated for the reference scenario 2021 and 2022? As well as the solution scenario 2023, 2024 and 2025?</t>
  </si>
  <si>
    <t>if you are referring to the fertilisers, yes these are aggregated values of fertilisers used in all these hectares</t>
  </si>
  <si>
    <t>The FINT is an off-grid solution, does this mean that it used solar energy and has batteries?</t>
  </si>
  <si>
    <t>Have you noticed any other higher order effects? Or anticipate any in the future?</t>
  </si>
  <si>
    <t xml:space="preserve">Are there any other types of plant protective agents used such as fungicides? </t>
  </si>
  <si>
    <t>only copper products through foliar application, that is the only protective agent we use due to organic cultivation</t>
  </si>
  <si>
    <t>Any other type of fertiliser used such as sheep manure or residue incorporation?</t>
  </si>
  <si>
    <t>so far no, since it is hard to find certified organic manure…from 2026 we are planning to use the leaves and small branches after pruning, pass them through a chipper machine and use that as fertilizer at the field</t>
  </si>
  <si>
    <t xml:space="preserve">Can you confirm the solution scenario years? </t>
  </si>
  <si>
    <t>2023+2024 (if you want data for 2025 you can have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</si>
</sst>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
    <numFmt numFmtId="167" formatCode="0.0%"/>
    <numFmt numFmtId="168" formatCode="0.00000"/>
    <numFmt numFmtId="169" formatCode="_-* #,##0_-;\-* #,##0_-;_-* &quot;-&quot;??_-;_-@_-"/>
    <numFmt numFmtId="170" formatCode="_-* #,##0.00000_-;\-* #,##0.00000_-;_-* &quot;-&quot;??_-;_-@_-"/>
  </numFmts>
  <fonts count="75">
    <font>
      <sz val="11"/>
      <color theme="1"/>
      <name val="Roboto"/>
      <family val="2"/>
      <scheme val="minor"/>
    </font>
    <font>
      <b/>
      <sz val="11"/>
      <color theme="1"/>
      <name val="Roboto"/>
      <family val="2"/>
      <scheme val="minor"/>
    </font>
    <font>
      <sz val="16"/>
      <color theme="4"/>
      <name val="Crimson Pro"/>
    </font>
    <font>
      <sz val="18"/>
      <color theme="3"/>
      <name val="Crimson Pro"/>
    </font>
    <font>
      <b/>
      <sz val="12"/>
      <color theme="3"/>
      <name val="Roboto"/>
      <family val="2"/>
      <scheme val="minor"/>
    </font>
    <font>
      <b/>
      <sz val="11"/>
      <color theme="4"/>
      <name val="Roboto"/>
      <family val="2"/>
      <scheme val="minor"/>
    </font>
    <font>
      <sz val="10"/>
      <name val="Arial"/>
      <family val="2"/>
    </font>
    <font>
      <sz val="8"/>
      <name val="Roboto"/>
      <family val="2"/>
      <scheme val="minor"/>
    </font>
    <font>
      <sz val="11"/>
      <color theme="1"/>
      <name val="Roboto"/>
      <family val="2"/>
      <scheme val="minor"/>
    </font>
    <font>
      <sz val="11"/>
      <color theme="1"/>
      <name val="Roboto"/>
      <scheme val="minor"/>
    </font>
    <font>
      <b/>
      <sz val="11"/>
      <color theme="1"/>
      <name val="Lora"/>
    </font>
    <font>
      <sz val="11"/>
      <color theme="1"/>
      <name val="Lora"/>
    </font>
    <font>
      <b/>
      <sz val="11"/>
      <color theme="0"/>
      <name val="Lora"/>
    </font>
    <font>
      <i/>
      <sz val="11"/>
      <color rgb="FFFF0000"/>
      <name val="Lora"/>
    </font>
    <font>
      <b/>
      <sz val="14"/>
      <color theme="1"/>
      <name val="Lora"/>
    </font>
    <font>
      <sz val="11"/>
      <name val="Lora"/>
    </font>
    <font>
      <sz val="10"/>
      <color theme="1"/>
      <name val="Lora"/>
    </font>
    <font>
      <b/>
      <sz val="10"/>
      <color theme="1"/>
      <name val="Lora"/>
    </font>
    <font>
      <b/>
      <u/>
      <sz val="10"/>
      <color theme="1"/>
      <name val="Lora"/>
    </font>
    <font>
      <sz val="11"/>
      <color theme="1"/>
      <name val="Kigelia Arabic Light"/>
      <family val="2"/>
      <charset val="178"/>
    </font>
    <font>
      <b/>
      <sz val="11"/>
      <color theme="1"/>
      <name val="Kigelia Arabic Light"/>
      <family val="2"/>
      <charset val="178"/>
    </font>
    <font>
      <b/>
      <sz val="11"/>
      <color theme="4"/>
      <name val="Kigelia Arabic Light"/>
      <family val="2"/>
      <charset val="178"/>
    </font>
    <font>
      <b/>
      <u/>
      <sz val="11"/>
      <color theme="1"/>
      <name val="Lora"/>
    </font>
    <font>
      <u/>
      <sz val="11"/>
      <color theme="1"/>
      <name val="Lora"/>
    </font>
    <font>
      <i/>
      <sz val="11"/>
      <color theme="1"/>
      <name val="Lora"/>
    </font>
    <font>
      <sz val="11"/>
      <color theme="1"/>
      <name val="Kigelia Arabic Light"/>
      <family val="2"/>
    </font>
    <font>
      <i/>
      <sz val="12"/>
      <color theme="0"/>
      <name val="Aptos Narrow"/>
      <family val="2"/>
    </font>
    <font>
      <sz val="18"/>
      <color theme="3"/>
      <name val="Arial"/>
      <family val="2"/>
      <scheme val="major"/>
    </font>
    <font>
      <sz val="11"/>
      <color rgb="FF006100"/>
      <name val="Roboto"/>
      <family val="2"/>
      <scheme val="minor"/>
    </font>
    <font>
      <sz val="11"/>
      <color rgb="FF9C0006"/>
      <name val="Roboto"/>
      <family val="2"/>
      <scheme val="minor"/>
    </font>
    <font>
      <sz val="11"/>
      <color rgb="FF9C5700"/>
      <name val="Roboto"/>
      <family val="2"/>
      <scheme val="minor"/>
    </font>
    <font>
      <b/>
      <sz val="11"/>
      <color theme="0"/>
      <name val="Roboto"/>
      <family val="2"/>
      <scheme val="minor"/>
    </font>
    <font>
      <sz val="11"/>
      <color theme="0"/>
      <name val="Roboto"/>
      <family val="2"/>
      <scheme val="minor"/>
    </font>
    <font>
      <sz val="11"/>
      <color theme="1"/>
      <name val="Roboto"/>
    </font>
    <font>
      <u/>
      <sz val="11"/>
      <color theme="10"/>
      <name val="Roboto"/>
      <family val="2"/>
      <scheme val="minor"/>
    </font>
    <font>
      <sz val="10"/>
      <color theme="1"/>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theme="1"/>
      <name val="Arial"/>
      <family val="2"/>
    </font>
    <font>
      <b/>
      <sz val="10"/>
      <color theme="0"/>
      <name val="Arial"/>
      <family val="2"/>
    </font>
    <font>
      <b/>
      <sz val="12"/>
      <color theme="1"/>
      <name val="Lora"/>
    </font>
    <font>
      <b/>
      <u/>
      <sz val="11"/>
      <color theme="0"/>
      <name val="Lora"/>
    </font>
    <font>
      <b/>
      <sz val="11"/>
      <color rgb="FF000000"/>
      <name val="Lora"/>
    </font>
    <font>
      <sz val="11"/>
      <color rgb="FF000000"/>
      <name val="Lora"/>
    </font>
    <font>
      <b/>
      <sz val="11"/>
      <color rgb="FFFFFFFF"/>
      <name val="Lora"/>
    </font>
    <font>
      <sz val="11"/>
      <color theme="0"/>
      <name val="Lora"/>
    </font>
    <font>
      <sz val="11"/>
      <color theme="1"/>
      <name val="Lara"/>
    </font>
    <font>
      <i/>
      <u/>
      <sz val="11"/>
      <color theme="1"/>
      <name val="Lora"/>
    </font>
    <font>
      <b/>
      <sz val="18"/>
      <color rgb="FF2147ED"/>
      <name val="Arial"/>
      <family val="2"/>
      <scheme val="major"/>
    </font>
    <font>
      <sz val="11"/>
      <color rgb="FF000000"/>
      <name val="Roboto"/>
    </font>
    <font>
      <b/>
      <sz val="11"/>
      <color theme="1"/>
      <name val="Roboto"/>
    </font>
    <font>
      <sz val="11"/>
      <color rgb="FFFF0000"/>
      <name val="Roboto"/>
    </font>
    <font>
      <sz val="10"/>
      <name val="Verdana"/>
      <family val="2"/>
    </font>
    <font>
      <b/>
      <sz val="10"/>
      <color theme="0"/>
      <name val="Roboto"/>
    </font>
    <font>
      <sz val="10"/>
      <name val="Roboto"/>
    </font>
    <font>
      <sz val="11"/>
      <name val="Roboto"/>
      <family val="2"/>
      <scheme val="minor"/>
    </font>
    <font>
      <sz val="11"/>
      <name val="Roboto (Body)"/>
    </font>
    <font>
      <sz val="11"/>
      <color theme="1"/>
      <name val="Aptos Narrow"/>
      <family val="2"/>
      <charset val="1"/>
    </font>
    <font>
      <b/>
      <sz val="11"/>
      <color theme="1"/>
      <name val="Aptos Narrow"/>
      <family val="2"/>
    </font>
    <font>
      <b/>
      <sz val="16"/>
      <name val="Lora"/>
    </font>
    <font>
      <i/>
      <sz val="11"/>
      <color rgb="FF2147ED"/>
      <name val="Lora"/>
    </font>
    <font>
      <i/>
      <sz val="11"/>
      <color rgb="FF000000"/>
      <name val="Lora"/>
    </font>
    <font>
      <sz val="11"/>
      <color rgb="FFFF0000"/>
      <name val="Lora"/>
    </font>
    <font>
      <b/>
      <i/>
      <sz val="11"/>
      <color rgb="FF2147ED"/>
      <name val="Lora"/>
    </font>
    <font>
      <b/>
      <sz val="11"/>
      <name val="Lora"/>
    </font>
    <font>
      <sz val="11"/>
      <color rgb="FF2147ED"/>
      <name val="Lora"/>
    </font>
    <font>
      <i/>
      <sz val="11"/>
      <color theme="4"/>
      <name val="Lora"/>
    </font>
    <font>
      <b/>
      <sz val="11"/>
      <color rgb="FF2147ED"/>
      <name val="Lora"/>
    </font>
    <font>
      <i/>
      <sz val="11"/>
      <name val="Lora"/>
    </font>
    <font>
      <b/>
      <i/>
      <sz val="11"/>
      <color theme="1"/>
      <name val="Lora"/>
    </font>
    <font>
      <sz val="11"/>
      <color theme="1"/>
      <name val="Aptos Narrow"/>
      <family val="2"/>
    </font>
    <font>
      <b/>
      <sz val="11"/>
      <color rgb="FF000000"/>
      <name val="Roboto"/>
    </font>
    <font>
      <u/>
      <sz val="11"/>
      <color theme="0"/>
      <name val="Roboto"/>
      <family val="2"/>
      <scheme val="minor"/>
    </font>
  </fonts>
  <fills count="5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A6D9F7"/>
        <bgColor indexed="64"/>
      </patternFill>
    </fill>
    <fill>
      <patternFill patternType="solid">
        <fgColor rgb="FF366340"/>
        <bgColor indexed="64"/>
      </patternFill>
    </fill>
    <fill>
      <patternFill patternType="solid">
        <fgColor rgb="FFF5F17F"/>
        <bgColor indexed="64"/>
      </patternFill>
    </fill>
    <fill>
      <patternFill patternType="solid">
        <fgColor rgb="FFFFFF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rgb="FF000000"/>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FF00"/>
        <bgColor rgb="FF000000"/>
      </patternFill>
    </fill>
    <fill>
      <patternFill patternType="solid">
        <fgColor rgb="FF00FF6C"/>
        <bgColor rgb="FF000000"/>
      </patternFill>
    </fill>
    <fill>
      <patternFill patternType="solid">
        <fgColor rgb="FFFFC000"/>
        <bgColor rgb="FF000000"/>
      </patternFill>
    </fill>
    <fill>
      <patternFill patternType="solid">
        <fgColor rgb="FFD1D9FC"/>
        <bgColor rgb="FF000000"/>
      </patternFill>
    </fill>
    <fill>
      <patternFill patternType="solid">
        <fgColor rgb="FFD1D9FC"/>
        <bgColor indexed="64"/>
      </patternFill>
    </fill>
    <fill>
      <patternFill patternType="solid">
        <fgColor theme="4"/>
        <bgColor indexed="64"/>
      </patternFill>
    </fill>
    <fill>
      <patternFill patternType="solid">
        <fgColor rgb="FFFFFFFF"/>
        <bgColor rgb="FFFFFFCC"/>
      </patternFill>
    </fill>
    <fill>
      <patternFill patternType="solid">
        <fgColor theme="1"/>
        <bgColor rgb="FFFFFFCC"/>
      </patternFill>
    </fill>
    <fill>
      <patternFill patternType="solid">
        <fgColor theme="0" tint="-0.14999847407452621"/>
        <bgColor rgb="FFFFFFCC"/>
      </patternFill>
    </fill>
  </fills>
  <borders count="33">
    <border>
      <left/>
      <right/>
      <top/>
      <bottom/>
      <diagonal/>
    </border>
    <border>
      <left/>
      <right/>
      <top/>
      <bottom style="thick">
        <color theme="4" tint="0.499984740745262"/>
      </bottom>
      <diagonal/>
    </border>
    <border>
      <left/>
      <right/>
      <top/>
      <bottom style="thick">
        <color theme="7"/>
      </bottom>
      <diagonal/>
    </border>
    <border>
      <left/>
      <right/>
      <top style="double">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rgb="FF053D5F"/>
      </left>
      <right style="thin">
        <color rgb="FF053D5F"/>
      </right>
      <top style="thin">
        <color rgb="FF053D5F"/>
      </top>
      <bottom/>
      <diagonal/>
    </border>
    <border>
      <left/>
      <right style="thin">
        <color indexed="64"/>
      </right>
      <top/>
      <bottom/>
      <diagonal/>
    </border>
    <border>
      <left/>
      <right/>
      <top style="thick">
        <color rgb="FF00FF6C"/>
      </top>
      <bottom style="medium">
        <color rgb="FF000000"/>
      </bottom>
      <diagonal/>
    </border>
    <border>
      <left/>
      <right/>
      <top/>
      <bottom style="medium">
        <color theme="1"/>
      </bottom>
      <diagonal/>
    </border>
    <border>
      <left/>
      <right/>
      <top/>
      <bottom style="medium">
        <color indexed="64"/>
      </bottom>
      <diagonal/>
    </border>
    <border>
      <left style="thin">
        <color rgb="FF000000"/>
      </left>
      <right/>
      <top/>
      <bottom/>
      <diagonal/>
    </border>
    <border>
      <left style="thin">
        <color indexed="64"/>
      </left>
      <right/>
      <top/>
      <bottom style="thin">
        <color indexed="64"/>
      </bottom>
      <diagonal/>
    </border>
    <border>
      <left style="thin">
        <color rgb="FF000000"/>
      </left>
      <right/>
      <top/>
      <bottom style="thin">
        <color rgb="FF000000"/>
      </bottom>
      <diagonal/>
    </border>
  </borders>
  <cellStyleXfs count="62">
    <xf numFmtId="0" fontId="0" fillId="0" borderId="0"/>
    <xf numFmtId="0" fontId="3" fillId="0" borderId="2" applyNumberFormat="0" applyFill="0" applyAlignment="0" applyProtection="0"/>
    <xf numFmtId="0" fontId="2" fillId="0" borderId="1" applyNumberFormat="0" applyFill="0" applyBorder="0" applyAlignment="0" applyProtection="0"/>
    <xf numFmtId="0" fontId="4" fillId="0" borderId="0" applyNumberFormat="0" applyFill="0" applyAlignment="0" applyProtection="0"/>
    <xf numFmtId="0" fontId="5" fillId="0" borderId="0" applyNumberFormat="0" applyFill="0" applyBorder="0" applyAlignment="0" applyProtection="0"/>
    <xf numFmtId="0" fontId="1" fillId="0" borderId="3" applyNumberFormat="0" applyFill="0" applyAlignment="0" applyProtection="0"/>
    <xf numFmtId="0" fontId="6" fillId="0" borderId="0"/>
    <xf numFmtId="9" fontId="8" fillId="0" borderId="0" applyFont="0" applyFill="0" applyBorder="0" applyAlignment="0" applyProtection="0"/>
    <xf numFmtId="164" fontId="8" fillId="0" borderId="0" applyFont="0" applyFill="0" applyBorder="0" applyAlignment="0" applyProtection="0"/>
    <xf numFmtId="0" fontId="27" fillId="0" borderId="0" applyNumberFormat="0" applyFill="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0" applyNumberFormat="0" applyBorder="0" applyAlignment="0" applyProtection="0"/>
    <xf numFmtId="0" fontId="31" fillId="12" borderId="15" applyNumberFormat="0" applyAlignment="0" applyProtection="0"/>
    <xf numFmtId="0" fontId="3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3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3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3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3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32"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164" fontId="8" fillId="0" borderId="0" applyFont="0" applyFill="0" applyBorder="0" applyAlignment="0" applyProtection="0"/>
    <xf numFmtId="0" fontId="34" fillId="0" borderId="0" applyNumberFormat="0" applyFill="0" applyBorder="0" applyAlignment="0" applyProtection="0"/>
    <xf numFmtId="0" fontId="35" fillId="0" borderId="0"/>
    <xf numFmtId="0" fontId="6" fillId="39" borderId="17" applyNumberFormat="0" applyAlignment="0" applyProtection="0"/>
    <xf numFmtId="0" fontId="37" fillId="40" borderId="18" applyNumberFormat="0" applyProtection="0">
      <alignment vertical="center"/>
    </xf>
    <xf numFmtId="164" fontId="35" fillId="0" borderId="0" applyFont="0" applyFill="0" applyBorder="0" applyAlignment="0" applyProtection="0"/>
    <xf numFmtId="164" fontId="35"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6" fillId="0" borderId="0" applyNumberFormat="0" applyFill="0" applyBorder="0" applyAlignment="0" applyProtection="0">
      <alignment vertical="top"/>
      <protection locked="0"/>
    </xf>
    <xf numFmtId="0" fontId="6" fillId="41" borderId="14" applyNumberFormat="0" applyBorder="0" applyAlignment="0" applyProtection="0"/>
    <xf numFmtId="0" fontId="6" fillId="42" borderId="0">
      <alignment vertical="center"/>
    </xf>
    <xf numFmtId="0" fontId="6" fillId="43" borderId="19" applyNumberFormat="0" applyAlignment="0" applyProtection="0"/>
    <xf numFmtId="0" fontId="40" fillId="0" borderId="0"/>
    <xf numFmtId="0" fontId="35" fillId="13" borderId="16" applyNumberFormat="0" applyFont="0" applyAlignment="0" applyProtection="0"/>
    <xf numFmtId="0" fontId="41" fillId="44" borderId="20" applyNumberFormat="0" applyAlignment="0" applyProtection="0"/>
    <xf numFmtId="9" fontId="40" fillId="0" borderId="0" applyFont="0" applyFill="0" applyBorder="0" applyAlignment="0" applyProtection="0"/>
    <xf numFmtId="0" fontId="6" fillId="45" borderId="21" applyNumberFormat="0" applyProtection="0">
      <alignment vertical="center"/>
    </xf>
    <xf numFmtId="0" fontId="41" fillId="38" borderId="0" applyNumberFormat="0" applyBorder="0" applyAlignment="0" applyProtection="0"/>
    <xf numFmtId="0" fontId="34" fillId="0" borderId="0" applyNumberForma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54" fillId="0" borderId="0"/>
    <xf numFmtId="0" fontId="59" fillId="0" borderId="0"/>
  </cellStyleXfs>
  <cellXfs count="285">
    <xf numFmtId="0" fontId="0" fillId="0" borderId="0" xfId="0"/>
    <xf numFmtId="0" fontId="9" fillId="0" borderId="0" xfId="0" applyFont="1"/>
    <xf numFmtId="0" fontId="10" fillId="0" borderId="0" xfId="0" applyFont="1"/>
    <xf numFmtId="0" fontId="11" fillId="0" borderId="0" xfId="0" applyFont="1"/>
    <xf numFmtId="0" fontId="11" fillId="0" borderId="0" xfId="0" applyFont="1" applyAlignment="1">
      <alignment wrapText="1"/>
    </xf>
    <xf numFmtId="0" fontId="12" fillId="4" borderId="0" xfId="0" applyFont="1" applyFill="1" applyAlignment="1">
      <alignment horizontal="left"/>
    </xf>
    <xf numFmtId="0" fontId="12" fillId="4" borderId="0" xfId="0" applyFont="1" applyFill="1" applyAlignment="1">
      <alignment horizontal="left" wrapText="1"/>
    </xf>
    <xf numFmtId="0" fontId="12" fillId="4" borderId="4" xfId="0" applyFont="1" applyFill="1" applyBorder="1" applyAlignment="1">
      <alignment horizontal="left"/>
    </xf>
    <xf numFmtId="0" fontId="12" fillId="4" borderId="4" xfId="0" applyFont="1" applyFill="1" applyBorder="1" applyAlignment="1">
      <alignment horizontal="left" wrapText="1"/>
    </xf>
    <xf numFmtId="0" fontId="12" fillId="4" borderId="0" xfId="0" applyFont="1" applyFill="1" applyAlignment="1">
      <alignment horizontal="center" vertical="center"/>
    </xf>
    <xf numFmtId="0" fontId="12" fillId="4" borderId="0" xfId="0" applyFont="1" applyFill="1" applyAlignment="1">
      <alignment horizontal="center" vertical="center" wrapText="1"/>
    </xf>
    <xf numFmtId="0" fontId="11" fillId="0" borderId="4" xfId="0" applyFont="1" applyBorder="1" applyAlignment="1">
      <alignment vertical="center"/>
    </xf>
    <xf numFmtId="0" fontId="11" fillId="0" borderId="4" xfId="0" applyFont="1" applyBorder="1" applyProtection="1">
      <protection locked="0"/>
    </xf>
    <xf numFmtId="0" fontId="11" fillId="0" borderId="4" xfId="0" applyFont="1" applyBorder="1" applyAlignment="1">
      <alignment horizontal="center" vertical="center"/>
    </xf>
    <xf numFmtId="2" fontId="11" fillId="0" borderId="4" xfId="0" applyNumberFormat="1" applyFont="1" applyBorder="1" applyAlignment="1">
      <alignment horizontal="center" vertical="center"/>
    </xf>
    <xf numFmtId="4" fontId="11" fillId="0" borderId="4" xfId="0" applyNumberFormat="1" applyFont="1" applyBorder="1" applyAlignment="1">
      <alignment horizontal="center" vertical="center"/>
    </xf>
    <xf numFmtId="0" fontId="11" fillId="0" borderId="10" xfId="0" applyFont="1" applyBorder="1" applyAlignment="1">
      <alignment vertical="center"/>
    </xf>
    <xf numFmtId="0" fontId="13" fillId="0" borderId="0" xfId="0" applyFont="1"/>
    <xf numFmtId="0" fontId="12" fillId="3" borderId="4" xfId="0" applyFont="1" applyFill="1" applyBorder="1" applyAlignment="1">
      <alignment horizontal="left" wrapText="1"/>
    </xf>
    <xf numFmtId="0" fontId="12" fillId="3" borderId="4" xfId="0" applyFont="1" applyFill="1" applyBorder="1" applyAlignment="1">
      <alignment horizontal="center" wrapText="1"/>
    </xf>
    <xf numFmtId="0" fontId="10"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horizontal="center" wrapText="1"/>
    </xf>
    <xf numFmtId="0" fontId="13" fillId="0" borderId="0" xfId="0" applyFont="1" applyAlignment="1">
      <alignment vertical="center"/>
    </xf>
    <xf numFmtId="0" fontId="12" fillId="3" borderId="4" xfId="0" applyFont="1" applyFill="1" applyBorder="1" applyAlignment="1">
      <alignment horizontal="center"/>
    </xf>
    <xf numFmtId="0" fontId="10" fillId="0" borderId="4" xfId="0" applyFont="1" applyBorder="1" applyAlignment="1">
      <alignment vertical="center"/>
    </xf>
    <xf numFmtId="0" fontId="11" fillId="0" borderId="4" xfId="0" applyFont="1" applyBorder="1" applyAlignment="1">
      <alignment horizontal="center"/>
    </xf>
    <xf numFmtId="0" fontId="14" fillId="0" borderId="0" xfId="0" applyFont="1"/>
    <xf numFmtId="0" fontId="11" fillId="0" borderId="7" xfId="0" applyFont="1" applyBorder="1"/>
    <xf numFmtId="0" fontId="12" fillId="3" borderId="0" xfId="0" applyFont="1" applyFill="1" applyAlignment="1">
      <alignment horizontal="left"/>
    </xf>
    <xf numFmtId="0" fontId="11" fillId="0" borderId="4" xfId="0" applyFont="1" applyBorder="1"/>
    <xf numFmtId="2" fontId="11" fillId="0" borderId="4" xfId="0" applyNumberFormat="1" applyFont="1" applyBorder="1"/>
    <xf numFmtId="0" fontId="10" fillId="0" borderId="0" xfId="0" applyFont="1" applyAlignment="1">
      <alignment wrapText="1"/>
    </xf>
    <xf numFmtId="0" fontId="10"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indent="5"/>
    </xf>
    <xf numFmtId="0" fontId="18" fillId="0" borderId="0" xfId="0" applyFont="1" applyAlignment="1">
      <alignment vertical="center" wrapText="1"/>
    </xf>
    <xf numFmtId="0" fontId="11" fillId="0" borderId="0" xfId="0" applyFont="1" applyAlignment="1">
      <alignmen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wrapText="1"/>
    </xf>
    <xf numFmtId="2" fontId="11" fillId="0" borderId="4" xfId="0" applyNumberFormat="1" applyFont="1" applyBorder="1" applyAlignment="1">
      <alignment horizontal="center"/>
    </xf>
    <xf numFmtId="9" fontId="11" fillId="0" borderId="4" xfId="7" applyFont="1" applyBorder="1" applyAlignment="1">
      <alignment horizontal="center"/>
    </xf>
    <xf numFmtId="164" fontId="11" fillId="0" borderId="4" xfId="0" applyNumberFormat="1" applyFont="1" applyBorder="1"/>
    <xf numFmtId="10" fontId="11" fillId="0" borderId="4" xfId="7" applyNumberFormat="1" applyFont="1" applyBorder="1"/>
    <xf numFmtId="167" fontId="11" fillId="0" borderId="4" xfId="7" applyNumberFormat="1" applyFont="1" applyBorder="1"/>
    <xf numFmtId="167" fontId="11" fillId="0" borderId="0" xfId="7" applyNumberFormat="1" applyFont="1"/>
    <xf numFmtId="0" fontId="20" fillId="0" borderId="0" xfId="0" applyFont="1"/>
    <xf numFmtId="0" fontId="19" fillId="0" borderId="0" xfId="0" applyFont="1"/>
    <xf numFmtId="0" fontId="19" fillId="0" borderId="6" xfId="0" applyFont="1" applyBorder="1"/>
    <xf numFmtId="0" fontId="21" fillId="0" borderId="0" xfId="4" applyFont="1"/>
    <xf numFmtId="0" fontId="19" fillId="0" borderId="4" xfId="0" applyFont="1" applyBorder="1" applyProtection="1">
      <protection locked="0"/>
    </xf>
    <xf numFmtId="0" fontId="23" fillId="0" borderId="0" xfId="0" applyFont="1"/>
    <xf numFmtId="0" fontId="24" fillId="0" borderId="0" xfId="0" applyFont="1"/>
    <xf numFmtId="0" fontId="11" fillId="0" borderId="0" xfId="0" applyFont="1" applyAlignment="1">
      <alignment horizontal="center"/>
    </xf>
    <xf numFmtId="164" fontId="11" fillId="0" borderId="4" xfId="8" applyFont="1" applyBorder="1"/>
    <xf numFmtId="2" fontId="11" fillId="0" borderId="4" xfId="0" applyNumberFormat="1" applyFont="1" applyBorder="1" applyAlignment="1">
      <alignment horizontal="center" vertical="center" wrapText="1"/>
    </xf>
    <xf numFmtId="0" fontId="13" fillId="0" borderId="0" xfId="0" applyFont="1" applyAlignment="1">
      <alignment vertical="center" wrapText="1"/>
    </xf>
    <xf numFmtId="0" fontId="25" fillId="0" borderId="0" xfId="0" applyFont="1"/>
    <xf numFmtId="0" fontId="25" fillId="0" borderId="0" xfId="0" applyFont="1" applyProtection="1">
      <protection locked="0"/>
    </xf>
    <xf numFmtId="0" fontId="26" fillId="6" borderId="0" xfId="0" applyFont="1" applyFill="1"/>
    <xf numFmtId="0" fontId="11" fillId="5" borderId="0" xfId="0" applyFont="1" applyFill="1"/>
    <xf numFmtId="2" fontId="11" fillId="0" borderId="0" xfId="0" applyNumberFormat="1" applyFont="1"/>
    <xf numFmtId="2" fontId="15" fillId="0" borderId="0" xfId="0" applyNumberFormat="1" applyFont="1"/>
    <xf numFmtId="0" fontId="33" fillId="0" borderId="0" xfId="0" applyFont="1"/>
    <xf numFmtId="0" fontId="12" fillId="3" borderId="4" xfId="0" applyFont="1" applyFill="1" applyBorder="1" applyAlignment="1">
      <alignment horizontal="left"/>
    </xf>
    <xf numFmtId="0" fontId="42" fillId="0" borderId="0" xfId="0" applyFont="1"/>
    <xf numFmtId="0" fontId="44" fillId="0" borderId="0" xfId="0" applyFont="1" applyAlignment="1">
      <alignment vertical="center"/>
    </xf>
    <xf numFmtId="0" fontId="46" fillId="47" borderId="22" xfId="0" applyFont="1" applyFill="1" applyBorder="1" applyAlignment="1">
      <alignment horizontal="left" vertical="center"/>
    </xf>
    <xf numFmtId="0" fontId="45" fillId="48" borderId="4" xfId="0" applyFont="1" applyFill="1" applyBorder="1" applyAlignment="1">
      <alignment horizontal="left" vertical="center"/>
    </xf>
    <xf numFmtId="0" fontId="11" fillId="49" borderId="4" xfId="0" applyFont="1" applyFill="1" applyBorder="1"/>
    <xf numFmtId="164" fontId="11" fillId="0" borderId="4" xfId="59" applyFont="1" applyBorder="1"/>
    <xf numFmtId="0" fontId="45" fillId="0" borderId="4" xfId="0" applyFont="1" applyBorder="1" applyAlignment="1">
      <alignment horizontal="left" vertical="center" wrapText="1"/>
    </xf>
    <xf numFmtId="0" fontId="45" fillId="0" borderId="4" xfId="0" applyFont="1" applyBorder="1" applyAlignment="1">
      <alignment horizontal="left" vertical="center"/>
    </xf>
    <xf numFmtId="164" fontId="11" fillId="0" borderId="4" xfId="59" applyFont="1" applyBorder="1" applyAlignment="1">
      <alignment horizontal="center"/>
    </xf>
    <xf numFmtId="0" fontId="12" fillId="3" borderId="0" xfId="0" applyFont="1" applyFill="1"/>
    <xf numFmtId="0" fontId="12" fillId="3" borderId="4" xfId="0" applyFont="1" applyFill="1" applyBorder="1"/>
    <xf numFmtId="0" fontId="10" fillId="0" borderId="4" xfId="0" applyFont="1" applyBorder="1"/>
    <xf numFmtId="0" fontId="11" fillId="46" borderId="4" xfId="0" applyFont="1" applyFill="1" applyBorder="1"/>
    <xf numFmtId="164" fontId="11" fillId="46" borderId="4" xfId="59" applyFont="1" applyFill="1" applyBorder="1"/>
    <xf numFmtId="164" fontId="11" fillId="49" borderId="4" xfId="59" applyFont="1" applyFill="1" applyBorder="1"/>
    <xf numFmtId="0" fontId="45" fillId="0" borderId="23" xfId="0" applyFont="1" applyBorder="1" applyAlignment="1">
      <alignment horizontal="left" vertical="center"/>
    </xf>
    <xf numFmtId="0" fontId="19" fillId="0" borderId="4" xfId="0" applyFont="1" applyBorder="1"/>
    <xf numFmtId="164" fontId="11" fillId="0" borderId="4" xfId="59" applyFont="1" applyBorder="1" applyAlignment="1">
      <alignment horizontal="center" vertical="center"/>
    </xf>
    <xf numFmtId="1" fontId="48" fillId="0" borderId="0" xfId="0" applyNumberFormat="1" applyFont="1" applyAlignment="1">
      <alignment horizontal="center" vertical="center"/>
    </xf>
    <xf numFmtId="0" fontId="11" fillId="0" borderId="12" xfId="0" applyFont="1" applyBorder="1"/>
    <xf numFmtId="0" fontId="45" fillId="50" borderId="24" xfId="0" applyFont="1" applyFill="1" applyBorder="1" applyAlignment="1">
      <alignment horizontal="center" vertical="center"/>
    </xf>
    <xf numFmtId="0" fontId="45" fillId="51" borderId="24" xfId="0" applyFont="1" applyFill="1" applyBorder="1" applyAlignment="1">
      <alignment horizontal="center" vertical="center"/>
    </xf>
    <xf numFmtId="0" fontId="45" fillId="52" borderId="12" xfId="0" applyFont="1" applyFill="1" applyBorder="1" applyAlignment="1">
      <alignment horizontal="center" vertical="center"/>
    </xf>
    <xf numFmtId="0" fontId="11" fillId="0" borderId="10" xfId="0" applyFont="1" applyBorder="1" applyProtection="1">
      <protection locked="0"/>
    </xf>
    <xf numFmtId="0" fontId="11" fillId="0" borderId="0" xfId="0" applyFont="1" applyAlignment="1">
      <alignment horizontal="center" vertical="center"/>
    </xf>
    <xf numFmtId="2"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11" fillId="0" borderId="4" xfId="0" applyFont="1" applyBorder="1" applyAlignment="1">
      <alignment horizontal="center" vertical="top"/>
    </xf>
    <xf numFmtId="164" fontId="11" fillId="2" borderId="25" xfId="59" applyFont="1" applyFill="1" applyBorder="1" applyAlignment="1">
      <alignment horizontal="center" vertical="center"/>
    </xf>
    <xf numFmtId="164" fontId="11" fillId="2" borderId="4" xfId="59" applyFont="1" applyFill="1" applyBorder="1" applyAlignment="1">
      <alignment horizontal="center" vertical="center"/>
    </xf>
    <xf numFmtId="0" fontId="11" fillId="0" borderId="26" xfId="0" applyFont="1" applyBorder="1"/>
    <xf numFmtId="0" fontId="11" fillId="0" borderId="13" xfId="0" applyFont="1" applyBorder="1"/>
    <xf numFmtId="168" fontId="11" fillId="0" borderId="4" xfId="0" applyNumberFormat="1" applyFont="1" applyBorder="1"/>
    <xf numFmtId="165" fontId="11" fillId="0" borderId="0" xfId="0" applyNumberFormat="1" applyFont="1" applyAlignment="1">
      <alignment horizontal="center"/>
    </xf>
    <xf numFmtId="0" fontId="49" fillId="0" borderId="0" xfId="0" applyFont="1"/>
    <xf numFmtId="0" fontId="11" fillId="0" borderId="4" xfId="0" applyFont="1" applyBorder="1" applyAlignment="1">
      <alignment wrapText="1"/>
    </xf>
    <xf numFmtId="0" fontId="33" fillId="2" borderId="0" xfId="0" applyFont="1" applyFill="1"/>
    <xf numFmtId="0" fontId="50" fillId="0" borderId="0" xfId="1" applyFont="1" applyBorder="1" applyAlignment="1">
      <alignment vertical="top"/>
    </xf>
    <xf numFmtId="0" fontId="51" fillId="48" borderId="27" xfId="0" applyFont="1" applyFill="1" applyBorder="1"/>
    <xf numFmtId="0" fontId="33" fillId="2" borderId="28" xfId="0" applyFont="1" applyFill="1" applyBorder="1"/>
    <xf numFmtId="0" fontId="33" fillId="0" borderId="0" xfId="0" applyFont="1" applyAlignment="1">
      <alignment vertical="center"/>
    </xf>
    <xf numFmtId="0" fontId="52" fillId="0" borderId="0" xfId="0" applyFont="1" applyAlignment="1">
      <alignment vertical="center" wrapText="1"/>
    </xf>
    <xf numFmtId="0" fontId="53" fillId="0" borderId="0" xfId="0" applyFont="1" applyAlignment="1">
      <alignment horizontal="center" vertical="center" wrapText="1"/>
    </xf>
    <xf numFmtId="0" fontId="55" fillId="55" borderId="4" xfId="60" applyFont="1" applyFill="1" applyBorder="1" applyAlignment="1">
      <alignment horizontal="left" vertical="center" wrapText="1"/>
    </xf>
    <xf numFmtId="0" fontId="55" fillId="55" borderId="4" xfId="60" applyFont="1" applyFill="1" applyBorder="1" applyAlignment="1">
      <alignment horizontal="center" vertical="center" wrapText="1"/>
    </xf>
    <xf numFmtId="0" fontId="0" fillId="0" borderId="4" xfId="0" applyBorder="1" applyAlignment="1">
      <alignment horizontal="center" vertical="center"/>
    </xf>
    <xf numFmtId="0" fontId="9" fillId="0" borderId="4" xfId="0" applyFont="1" applyBorder="1" applyAlignment="1">
      <alignment wrapText="1"/>
    </xf>
    <xf numFmtId="0" fontId="0" fillId="0" borderId="4" xfId="0" applyBorder="1" applyAlignment="1">
      <alignment horizontal="center" vertical="center" wrapText="1"/>
    </xf>
    <xf numFmtId="0" fontId="56" fillId="2" borderId="4" xfId="60" applyFont="1" applyFill="1" applyBorder="1" applyAlignment="1">
      <alignment horizontal="center" vertical="center" wrapText="1"/>
    </xf>
    <xf numFmtId="0" fontId="57" fillId="0" borderId="4" xfId="0" applyFont="1" applyBorder="1" applyAlignment="1">
      <alignment horizontal="center" vertical="center" wrapText="1"/>
    </xf>
    <xf numFmtId="0" fontId="57" fillId="0" borderId="4" xfId="0" applyFont="1" applyBorder="1" applyAlignment="1">
      <alignment horizontal="center" vertical="center"/>
    </xf>
    <xf numFmtId="0" fontId="58" fillId="0" borderId="4" xfId="0" applyFont="1" applyBorder="1" applyAlignment="1">
      <alignment horizontal="center" vertical="center" wrapText="1"/>
    </xf>
    <xf numFmtId="0" fontId="0" fillId="0" borderId="0" xfId="0" applyAlignment="1">
      <alignment horizontal="center" vertical="center"/>
    </xf>
    <xf numFmtId="165" fontId="11" fillId="0" borderId="4" xfId="0" applyNumberFormat="1" applyFont="1" applyBorder="1" applyAlignment="1">
      <alignment horizontal="center" wrapText="1"/>
    </xf>
    <xf numFmtId="169" fontId="11" fillId="0" borderId="4" xfId="59" applyNumberFormat="1" applyFont="1" applyBorder="1"/>
    <xf numFmtId="0" fontId="11" fillId="2" borderId="0" xfId="0" applyFont="1" applyFill="1"/>
    <xf numFmtId="0" fontId="11" fillId="2" borderId="0" xfId="0" applyFont="1" applyFill="1" applyAlignment="1">
      <alignment horizontal="left" vertical="top"/>
    </xf>
    <xf numFmtId="0" fontId="11" fillId="2" borderId="28" xfId="0" applyFont="1" applyFill="1" applyBorder="1"/>
    <xf numFmtId="0" fontId="11" fillId="2" borderId="28" xfId="0" applyFont="1" applyFill="1" applyBorder="1" applyAlignment="1">
      <alignment horizontal="left" vertical="top"/>
    </xf>
    <xf numFmtId="0" fontId="61" fillId="0" borderId="0" xfId="2" applyFont="1" applyBorder="1"/>
    <xf numFmtId="0" fontId="11" fillId="0" borderId="0" xfId="0" applyFont="1" applyAlignment="1">
      <alignment horizontal="left" vertical="top"/>
    </xf>
    <xf numFmtId="0" fontId="11" fillId="0" borderId="0" xfId="0" applyFont="1" applyAlignment="1">
      <alignment horizontal="left" vertical="top" wrapText="1"/>
    </xf>
    <xf numFmtId="0" fontId="42" fillId="0" borderId="29" xfId="0" applyFont="1" applyBorder="1" applyAlignment="1">
      <alignment wrapText="1"/>
    </xf>
    <xf numFmtId="0" fontId="44" fillId="0" borderId="4" xfId="0" applyFont="1" applyBorder="1" applyAlignment="1">
      <alignment horizontal="left" vertical="top" wrapText="1"/>
    </xf>
    <xf numFmtId="0" fontId="10" fillId="0" borderId="4" xfId="0" applyFont="1" applyBorder="1" applyAlignment="1">
      <alignment vertical="top" wrapText="1"/>
    </xf>
    <xf numFmtId="0" fontId="64" fillId="0" borderId="0" xfId="0" applyFont="1" applyAlignment="1">
      <alignment horizontal="left" vertical="top"/>
    </xf>
    <xf numFmtId="0" fontId="42" fillId="0" borderId="29" xfId="0" applyFont="1" applyBorder="1" applyAlignment="1">
      <alignment vertical="center" wrapText="1"/>
    </xf>
    <xf numFmtId="0" fontId="11" fillId="0" borderId="0" xfId="0" applyFont="1" applyAlignment="1">
      <alignment horizontal="left" vertical="center"/>
    </xf>
    <xf numFmtId="0" fontId="68" fillId="0" borderId="0" xfId="0" applyFont="1" applyAlignment="1">
      <alignment vertical="center" wrapText="1"/>
    </xf>
    <xf numFmtId="0" fontId="10" fillId="0" borderId="0" xfId="0" applyFont="1" applyAlignment="1">
      <alignment horizontal="left" vertical="center"/>
    </xf>
    <xf numFmtId="0" fontId="12" fillId="3" borderId="4" xfId="0" applyFont="1" applyFill="1" applyBorder="1" applyAlignment="1">
      <alignment vertical="center" wrapText="1"/>
    </xf>
    <xf numFmtId="0" fontId="12" fillId="3" borderId="4" xfId="0" applyFont="1" applyFill="1" applyBorder="1" applyAlignment="1">
      <alignment horizontal="left" vertical="center"/>
    </xf>
    <xf numFmtId="0" fontId="11" fillId="54" borderId="4" xfId="0" applyFont="1" applyFill="1" applyBorder="1" applyAlignment="1">
      <alignment horizontal="left" vertical="center"/>
    </xf>
    <xf numFmtId="0" fontId="66" fillId="54" borderId="8" xfId="4" applyFont="1" applyFill="1" applyBorder="1" applyAlignment="1">
      <alignment vertical="center"/>
    </xf>
    <xf numFmtId="0" fontId="66" fillId="54" borderId="4" xfId="4" applyFont="1" applyFill="1" applyBorder="1" applyAlignment="1">
      <alignment horizontal="left" vertical="center"/>
    </xf>
    <xf numFmtId="0" fontId="10" fillId="0" borderId="0" xfId="0" applyFont="1" applyAlignment="1">
      <alignment vertical="center"/>
    </xf>
    <xf numFmtId="0" fontId="11" fillId="54" borderId="0" xfId="0" applyFont="1" applyFill="1" applyAlignment="1">
      <alignment horizontal="left" vertical="center"/>
    </xf>
    <xf numFmtId="0" fontId="66" fillId="54" borderId="0" xfId="4" applyFont="1" applyFill="1" applyBorder="1" applyAlignment="1">
      <alignment vertical="center"/>
    </xf>
    <xf numFmtId="0" fontId="66" fillId="54" borderId="0" xfId="4" applyFont="1" applyFill="1" applyBorder="1" applyAlignment="1">
      <alignment horizontal="left" vertical="center"/>
    </xf>
    <xf numFmtId="0" fontId="11" fillId="54" borderId="0" xfId="0" applyFont="1" applyFill="1" applyAlignment="1">
      <alignment horizontal="center" vertical="top" wrapText="1"/>
    </xf>
    <xf numFmtId="0" fontId="62" fillId="0" borderId="0" xfId="0" applyFont="1" applyAlignment="1">
      <alignment vertical="center"/>
    </xf>
    <xf numFmtId="0" fontId="44" fillId="0" borderId="4" xfId="0" applyFont="1" applyBorder="1" applyAlignment="1">
      <alignment vertical="center" wrapText="1"/>
    </xf>
    <xf numFmtId="0" fontId="15" fillId="54" borderId="4" xfId="0" applyFont="1" applyFill="1" applyBorder="1" applyAlignment="1">
      <alignment horizontal="left" vertical="center" wrapText="1"/>
    </xf>
    <xf numFmtId="4" fontId="11" fillId="54" borderId="4" xfId="0" applyNumberFormat="1" applyFont="1" applyFill="1" applyBorder="1" applyAlignment="1">
      <alignment horizontal="left" vertical="center"/>
    </xf>
    <xf numFmtId="0" fontId="44" fillId="0" borderId="0" xfId="0" applyFont="1" applyAlignment="1">
      <alignment vertical="center" wrapText="1"/>
    </xf>
    <xf numFmtId="0" fontId="64" fillId="54" borderId="0" xfId="0" applyFont="1" applyFill="1" applyAlignment="1">
      <alignment horizontal="left" vertical="center" wrapText="1"/>
    </xf>
    <xf numFmtId="4" fontId="11" fillId="54" borderId="0" xfId="0" applyNumberFormat="1" applyFont="1" applyFill="1" applyAlignment="1">
      <alignment horizontal="left" vertical="center"/>
    </xf>
    <xf numFmtId="0" fontId="64" fillId="54" borderId="4" xfId="0" applyFont="1" applyFill="1" applyBorder="1" applyAlignment="1">
      <alignment horizontal="left" vertical="center" wrapText="1"/>
    </xf>
    <xf numFmtId="0" fontId="11" fillId="54" borderId="4" xfId="0" applyFont="1" applyFill="1" applyBorder="1" applyAlignment="1">
      <alignment horizontal="left" vertical="top" wrapText="1"/>
    </xf>
    <xf numFmtId="0" fontId="64" fillId="0" borderId="0" xfId="0" applyFont="1" applyAlignment="1">
      <alignment horizontal="center" vertical="center" wrapText="1"/>
    </xf>
    <xf numFmtId="3" fontId="11" fillId="54" borderId="4" xfId="0" applyNumberFormat="1" applyFont="1" applyFill="1" applyBorder="1" applyAlignment="1">
      <alignment horizontal="left" vertical="center"/>
    </xf>
    <xf numFmtId="0" fontId="10" fillId="0" borderId="29" xfId="0" applyFont="1" applyBorder="1" applyAlignment="1">
      <alignment vertical="center" wrapText="1"/>
    </xf>
    <xf numFmtId="0" fontId="11" fillId="54" borderId="8" xfId="0" applyFont="1" applyFill="1" applyBorder="1" applyAlignment="1">
      <alignment vertical="top" wrapText="1"/>
    </xf>
    <xf numFmtId="0" fontId="11" fillId="54" borderId="0" xfId="0" applyFont="1" applyFill="1" applyAlignment="1">
      <alignment vertical="top" wrapText="1"/>
    </xf>
    <xf numFmtId="0" fontId="66" fillId="0" borderId="0" xfId="4" applyFont="1" applyFill="1" applyBorder="1" applyAlignment="1">
      <alignment horizontal="left" vertical="center"/>
    </xf>
    <xf numFmtId="0" fontId="70" fillId="54" borderId="4" xfId="0" applyFont="1" applyFill="1" applyBorder="1" applyAlignment="1">
      <alignment horizontal="left" vertical="center" wrapText="1"/>
    </xf>
    <xf numFmtId="0" fontId="13" fillId="54" borderId="0" xfId="0" applyFont="1" applyFill="1" applyAlignment="1">
      <alignment horizontal="left" vertical="center" wrapText="1"/>
    </xf>
    <xf numFmtId="0" fontId="66" fillId="0" borderId="10" xfId="0" applyFont="1" applyBorder="1" applyAlignment="1">
      <alignment horizontal="left" vertical="top" wrapText="1"/>
    </xf>
    <xf numFmtId="0" fontId="66" fillId="0" borderId="9" xfId="0" applyFont="1" applyBorder="1" applyAlignment="1">
      <alignment horizontal="left" vertical="top" wrapText="1"/>
    </xf>
    <xf numFmtId="0" fontId="66" fillId="0" borderId="11" xfId="0" applyFont="1" applyBorder="1" applyAlignment="1">
      <alignment horizontal="left" vertical="top" wrapText="1"/>
    </xf>
    <xf numFmtId="0" fontId="13" fillId="54" borderId="4" xfId="0" applyFont="1" applyFill="1" applyBorder="1" applyAlignment="1">
      <alignment horizontal="left" vertical="center"/>
    </xf>
    <xf numFmtId="0" fontId="71" fillId="2" borderId="4" xfId="0" applyFont="1" applyFill="1" applyBorder="1" applyAlignment="1">
      <alignment vertical="center" wrapText="1"/>
    </xf>
    <xf numFmtId="0" fontId="11" fillId="54" borderId="4" xfId="0" applyFont="1" applyFill="1" applyBorder="1" applyAlignment="1">
      <alignment horizontal="left" vertical="center" wrapText="1"/>
    </xf>
    <xf numFmtId="0" fontId="12" fillId="3" borderId="0" xfId="0" applyFont="1" applyFill="1" applyAlignment="1">
      <alignment vertical="center" wrapText="1"/>
    </xf>
    <xf numFmtId="0" fontId="11" fillId="0" borderId="4" xfId="0" applyFont="1" applyBorder="1" applyAlignment="1">
      <alignment vertical="center" wrapText="1"/>
    </xf>
    <xf numFmtId="0" fontId="70" fillId="54" borderId="10" xfId="0" applyFont="1" applyFill="1" applyBorder="1" applyAlignment="1">
      <alignment horizontal="left" vertical="center" wrapText="1"/>
    </xf>
    <xf numFmtId="0" fontId="12" fillId="3" borderId="10" xfId="0" applyFont="1" applyFill="1" applyBorder="1" applyAlignment="1">
      <alignment horizontal="left" vertical="center"/>
    </xf>
    <xf numFmtId="0" fontId="11" fillId="54" borderId="10" xfId="0" applyFont="1" applyFill="1" applyBorder="1" applyAlignment="1">
      <alignment horizontal="left" vertical="center"/>
    </xf>
    <xf numFmtId="0" fontId="43" fillId="0" borderId="0" xfId="0" applyFont="1" applyAlignment="1">
      <alignment horizontal="center"/>
    </xf>
    <xf numFmtId="0" fontId="12" fillId="3" borderId="5" xfId="0" applyFont="1" applyFill="1" applyBorder="1" applyAlignment="1">
      <alignment horizontal="left"/>
    </xf>
    <xf numFmtId="0" fontId="45" fillId="0" borderId="30" xfId="0" applyFont="1" applyBorder="1" applyAlignment="1">
      <alignment horizontal="left" vertical="center"/>
    </xf>
    <xf numFmtId="0" fontId="12" fillId="57" borderId="4" xfId="61" applyFont="1" applyFill="1" applyBorder="1" applyAlignment="1">
      <alignment horizontal="left" vertical="top"/>
    </xf>
    <xf numFmtId="0" fontId="12" fillId="57" borderId="4" xfId="61" applyFont="1" applyFill="1" applyBorder="1" applyAlignment="1">
      <alignment horizontal="left" vertical="center"/>
    </xf>
    <xf numFmtId="0" fontId="12" fillId="57" borderId="4" xfId="61" applyFont="1" applyFill="1" applyBorder="1" applyAlignment="1">
      <alignment horizontal="left"/>
    </xf>
    <xf numFmtId="0" fontId="11" fillId="56" borderId="0" xfId="61" applyFont="1" applyFill="1" applyAlignment="1">
      <alignment horizontal="left"/>
    </xf>
    <xf numFmtId="0" fontId="59" fillId="56" borderId="0" xfId="61" applyFill="1" applyAlignment="1">
      <alignment horizontal="left"/>
    </xf>
    <xf numFmtId="0" fontId="10" fillId="56" borderId="4" xfId="61" applyFont="1" applyFill="1" applyBorder="1" applyAlignment="1">
      <alignment horizontal="left" vertical="top"/>
    </xf>
    <xf numFmtId="0" fontId="11" fillId="56" borderId="4" xfId="61" applyFont="1" applyFill="1" applyBorder="1" applyAlignment="1">
      <alignment horizontal="left"/>
    </xf>
    <xf numFmtId="0" fontId="59" fillId="0" borderId="4" xfId="61" applyBorder="1" applyAlignment="1">
      <alignment horizontal="left"/>
    </xf>
    <xf numFmtId="0" fontId="59" fillId="0" borderId="0" xfId="61" applyAlignment="1">
      <alignment horizontal="left"/>
    </xf>
    <xf numFmtId="0" fontId="11" fillId="56" borderId="4" xfId="61" applyFont="1" applyFill="1" applyBorder="1" applyAlignment="1">
      <alignment horizontal="left" vertical="top"/>
    </xf>
    <xf numFmtId="0" fontId="11" fillId="56" borderId="4" xfId="61" applyFont="1" applyFill="1" applyBorder="1" applyAlignment="1">
      <alignment horizontal="left" vertical="top" wrapText="1"/>
    </xf>
    <xf numFmtId="2" fontId="11" fillId="56" borderId="4" xfId="61" applyNumberFormat="1" applyFont="1" applyFill="1" applyBorder="1" applyAlignment="1">
      <alignment horizontal="left"/>
    </xf>
    <xf numFmtId="0" fontId="10" fillId="56" borderId="4" xfId="61" applyFont="1" applyFill="1" applyBorder="1" applyAlignment="1">
      <alignment horizontal="left"/>
    </xf>
    <xf numFmtId="2" fontId="11" fillId="56" borderId="0" xfId="61" applyNumberFormat="1" applyFont="1" applyFill="1" applyAlignment="1">
      <alignment horizontal="left"/>
    </xf>
    <xf numFmtId="0" fontId="10" fillId="56" borderId="0" xfId="61" applyFont="1" applyFill="1" applyAlignment="1">
      <alignment horizontal="left"/>
    </xf>
    <xf numFmtId="0" fontId="59" fillId="56" borderId="11" xfId="61" applyFill="1" applyBorder="1" applyAlignment="1">
      <alignment horizontal="left"/>
    </xf>
    <xf numFmtId="0" fontId="59" fillId="56" borderId="4" xfId="61" applyFill="1" applyBorder="1" applyAlignment="1">
      <alignment horizontal="left"/>
    </xf>
    <xf numFmtId="2" fontId="10" fillId="56" borderId="0" xfId="61" applyNumberFormat="1" applyFont="1" applyFill="1" applyAlignment="1">
      <alignment horizontal="left"/>
    </xf>
    <xf numFmtId="0" fontId="11" fillId="58" borderId="4" xfId="61" applyFont="1" applyFill="1" applyBorder="1" applyAlignment="1">
      <alignment horizontal="left"/>
    </xf>
    <xf numFmtId="0" fontId="11" fillId="58" borderId="0" xfId="61" applyFont="1" applyFill="1" applyAlignment="1">
      <alignment horizontal="left"/>
    </xf>
    <xf numFmtId="164" fontId="11" fillId="56" borderId="0" xfId="61" applyNumberFormat="1" applyFont="1" applyFill="1" applyAlignment="1">
      <alignment horizontal="left"/>
    </xf>
    <xf numFmtId="164" fontId="59" fillId="56" borderId="0" xfId="61" applyNumberFormat="1" applyFill="1" applyAlignment="1">
      <alignment horizontal="left"/>
    </xf>
    <xf numFmtId="164" fontId="72" fillId="56" borderId="0" xfId="61" applyNumberFormat="1" applyFont="1" applyFill="1" applyAlignment="1">
      <alignment horizontal="left"/>
    </xf>
    <xf numFmtId="4" fontId="45" fillId="0" borderId="4" xfId="0" applyNumberFormat="1" applyFont="1" applyBorder="1" applyAlignment="1">
      <alignment horizontal="center" vertical="center"/>
    </xf>
    <xf numFmtId="0" fontId="11" fillId="46" borderId="4" xfId="0" applyFont="1" applyFill="1" applyBorder="1" applyAlignment="1">
      <alignment horizontal="center" vertical="center"/>
    </xf>
    <xf numFmtId="2" fontId="11" fillId="46" borderId="4" xfId="0" applyNumberFormat="1" applyFont="1" applyFill="1" applyBorder="1" applyAlignment="1">
      <alignment horizontal="center" vertical="center"/>
    </xf>
    <xf numFmtId="164" fontId="11" fillId="49" borderId="4" xfId="59" applyFont="1" applyFill="1" applyBorder="1" applyAlignment="1">
      <alignment horizontal="center" vertical="center"/>
    </xf>
    <xf numFmtId="164" fontId="11" fillId="49" borderId="4" xfId="59" applyFont="1" applyFill="1" applyBorder="1" applyAlignment="1">
      <alignment horizontal="right" vertical="center"/>
    </xf>
    <xf numFmtId="164" fontId="10" fillId="49" borderId="4" xfId="59" applyFont="1" applyFill="1" applyBorder="1" applyAlignment="1">
      <alignment horizontal="center" vertical="center"/>
    </xf>
    <xf numFmtId="164" fontId="10" fillId="49" borderId="4" xfId="59" applyFont="1" applyFill="1" applyBorder="1" applyAlignment="1">
      <alignment horizontal="right" vertical="center"/>
    </xf>
    <xf numFmtId="164" fontId="10" fillId="0" borderId="4" xfId="59" applyFont="1" applyFill="1" applyBorder="1" applyAlignment="1">
      <alignment horizontal="right" vertical="center"/>
    </xf>
    <xf numFmtId="10" fontId="11" fillId="0" borderId="4" xfId="0" applyNumberFormat="1" applyFont="1" applyBorder="1"/>
    <xf numFmtId="164" fontId="11" fillId="7" borderId="4" xfId="59" applyFont="1" applyFill="1" applyBorder="1" applyAlignment="1">
      <alignment horizontal="center" vertical="center"/>
    </xf>
    <xf numFmtId="164" fontId="11" fillId="0" borderId="0" xfId="0" applyNumberFormat="1" applyFont="1"/>
    <xf numFmtId="0" fontId="34" fillId="0" borderId="11" xfId="39" applyBorder="1"/>
    <xf numFmtId="164" fontId="45" fillId="0" borderId="4" xfId="0" applyNumberFormat="1" applyFont="1" applyBorder="1" applyAlignment="1">
      <alignment horizontal="center" vertical="center"/>
    </xf>
    <xf numFmtId="0" fontId="11" fillId="0" borderId="4" xfId="61" applyFont="1" applyBorder="1" applyAlignment="1">
      <alignment horizontal="left"/>
    </xf>
    <xf numFmtId="164" fontId="11" fillId="0" borderId="0" xfId="59" applyFont="1" applyBorder="1"/>
    <xf numFmtId="170" fontId="11" fillId="0" borderId="4" xfId="59" applyNumberFormat="1" applyFont="1" applyBorder="1"/>
    <xf numFmtId="170" fontId="11" fillId="0" borderId="4" xfId="59" applyNumberFormat="1" applyFont="1" applyBorder="1" applyAlignment="1">
      <alignment horizontal="center"/>
    </xf>
    <xf numFmtId="0" fontId="11" fillId="0" borderId="10" xfId="0" applyFont="1" applyBorder="1"/>
    <xf numFmtId="0" fontId="11" fillId="0" borderId="5" xfId="0" applyFont="1" applyBorder="1"/>
    <xf numFmtId="164" fontId="11" fillId="49" borderId="5" xfId="59" applyFont="1" applyFill="1" applyBorder="1"/>
    <xf numFmtId="0" fontId="11" fillId="0" borderId="31" xfId="0" applyFont="1" applyBorder="1"/>
    <xf numFmtId="0" fontId="33" fillId="0" borderId="4" xfId="0" applyFont="1" applyBorder="1"/>
    <xf numFmtId="0" fontId="11" fillId="0" borderId="4" xfId="0" applyFont="1" applyBorder="1" applyAlignment="1">
      <alignment horizontal="left" vertical="top"/>
    </xf>
    <xf numFmtId="0" fontId="51" fillId="48" borderId="0" xfId="0" applyFont="1" applyFill="1"/>
    <xf numFmtId="0" fontId="33" fillId="0" borderId="0" xfId="0" applyFont="1" applyAlignment="1">
      <alignment horizontal="center" vertical="center"/>
    </xf>
    <xf numFmtId="0" fontId="34" fillId="0" borderId="4" xfId="39" applyBorder="1" applyAlignment="1">
      <alignment wrapText="1"/>
    </xf>
    <xf numFmtId="164" fontId="11" fillId="56" borderId="4" xfId="61" applyNumberFormat="1" applyFont="1" applyFill="1" applyBorder="1" applyAlignment="1">
      <alignment horizontal="left"/>
    </xf>
    <xf numFmtId="0" fontId="11" fillId="56" borderId="4" xfId="61" applyFont="1" applyFill="1" applyBorder="1" applyAlignment="1">
      <alignment horizontal="center" vertical="center"/>
    </xf>
    <xf numFmtId="164" fontId="11" fillId="56" borderId="4" xfId="61" applyNumberFormat="1" applyFont="1" applyFill="1" applyBorder="1" applyAlignment="1">
      <alignment horizontal="center" vertical="center"/>
    </xf>
    <xf numFmtId="0" fontId="73" fillId="48" borderId="0" xfId="0" applyFont="1" applyFill="1"/>
    <xf numFmtId="0" fontId="11" fillId="0" borderId="4" xfId="0" applyFont="1" applyBorder="1" applyAlignment="1">
      <alignment vertical="top"/>
    </xf>
    <xf numFmtId="9" fontId="19" fillId="0" borderId="0" xfId="7" applyFont="1"/>
    <xf numFmtId="2" fontId="11" fillId="0" borderId="4" xfId="7" applyNumberFormat="1" applyFont="1" applyBorder="1" applyAlignment="1">
      <alignment horizontal="right" vertical="center"/>
    </xf>
    <xf numFmtId="0" fontId="45" fillId="0" borderId="32" xfId="0" applyFont="1" applyBorder="1" applyAlignment="1">
      <alignment horizontal="left" vertical="center"/>
    </xf>
    <xf numFmtId="164" fontId="11" fillId="0" borderId="5" xfId="0" applyNumberFormat="1" applyFont="1" applyBorder="1"/>
    <xf numFmtId="164" fontId="10" fillId="0" borderId="4" xfId="59" applyFont="1" applyBorder="1" applyAlignment="1">
      <alignment horizontal="right" vertical="center"/>
    </xf>
    <xf numFmtId="0" fontId="11" fillId="0" borderId="11" xfId="0" applyFont="1" applyBorder="1" applyAlignment="1">
      <alignment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59" fillId="46" borderId="4" xfId="61" applyFill="1" applyBorder="1" applyAlignment="1">
      <alignment horizontal="center"/>
    </xf>
    <xf numFmtId="0" fontId="11" fillId="46" borderId="4" xfId="61" applyFont="1" applyFill="1" applyBorder="1" applyAlignment="1">
      <alignment horizontal="center"/>
    </xf>
    <xf numFmtId="4" fontId="45" fillId="0" borderId="0" xfId="0" applyNumberFormat="1" applyFont="1" applyAlignment="1">
      <alignment horizontal="center" vertical="center"/>
    </xf>
    <xf numFmtId="9" fontId="11" fillId="0" borderId="0" xfId="7" applyFont="1" applyBorder="1"/>
    <xf numFmtId="9" fontId="11" fillId="0" borderId="0" xfId="0" applyNumberFormat="1" applyFont="1"/>
    <xf numFmtId="164" fontId="19" fillId="0" borderId="0" xfId="0" applyNumberFormat="1" applyFont="1"/>
    <xf numFmtId="0" fontId="14" fillId="0" borderId="0" xfId="0" applyFont="1" applyAlignment="1">
      <alignment horizontal="left" wrapText="1"/>
    </xf>
    <xf numFmtId="0" fontId="11" fillId="8" borderId="0" xfId="0" applyFont="1" applyFill="1" applyAlignment="1">
      <alignment horizontal="left" vertical="top" wrapText="1"/>
    </xf>
    <xf numFmtId="0" fontId="22" fillId="0" borderId="0" xfId="0" applyFont="1" applyAlignment="1">
      <alignment horizontal="left" wrapText="1"/>
    </xf>
    <xf numFmtId="0" fontId="11" fillId="0" borderId="4" xfId="0" applyFont="1" applyBorder="1" applyAlignment="1">
      <alignment horizontal="center" vertical="center"/>
    </xf>
    <xf numFmtId="0" fontId="12" fillId="4" borderId="4" xfId="0" applyFont="1" applyFill="1" applyBorder="1" applyAlignment="1">
      <alignment horizontal="center" wrapText="1"/>
    </xf>
    <xf numFmtId="0" fontId="12" fillId="4" borderId="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3" fillId="0" borderId="8" xfId="0" applyFont="1" applyBorder="1" applyAlignment="1">
      <alignment horizontal="center" vertical="center" wrapText="1"/>
    </xf>
    <xf numFmtId="0" fontId="60" fillId="56" borderId="0" xfId="61" applyFont="1" applyFill="1" applyAlignment="1">
      <alignment horizontal="left" vertical="top"/>
    </xf>
    <xf numFmtId="0" fontId="11" fillId="54" borderId="8" xfId="0" applyFont="1" applyFill="1" applyBorder="1" applyAlignment="1">
      <alignment horizontal="center" vertical="top" wrapText="1"/>
    </xf>
    <xf numFmtId="0" fontId="11" fillId="54" borderId="0" xfId="0" applyFont="1" applyFill="1" applyAlignment="1">
      <alignment horizontal="center" vertical="top" wrapText="1"/>
    </xf>
    <xf numFmtId="0" fontId="62" fillId="0" borderId="0" xfId="0" applyFont="1" applyAlignment="1">
      <alignment horizontal="left" vertical="top" wrapText="1"/>
    </xf>
    <xf numFmtId="0" fontId="15" fillId="53" borderId="4" xfId="0" applyFont="1" applyFill="1" applyBorder="1" applyAlignment="1">
      <alignment horizontal="left" vertical="top" wrapText="1"/>
    </xf>
    <xf numFmtId="0" fontId="11" fillId="53" borderId="4" xfId="0" applyFont="1" applyFill="1" applyBorder="1" applyAlignment="1">
      <alignment horizontal="left" vertical="top" wrapText="1"/>
    </xf>
    <xf numFmtId="0" fontId="11" fillId="54" borderId="10" xfId="0" applyFont="1" applyFill="1" applyBorder="1" applyAlignment="1">
      <alignment horizontal="left" vertical="top"/>
    </xf>
    <xf numFmtId="0" fontId="11" fillId="54" borderId="9" xfId="0" applyFont="1" applyFill="1" applyBorder="1" applyAlignment="1">
      <alignment horizontal="left" vertical="top"/>
    </xf>
    <xf numFmtId="0" fontId="11" fillId="54" borderId="11" xfId="0" applyFont="1" applyFill="1" applyBorder="1" applyAlignment="1">
      <alignment horizontal="left" vertical="top"/>
    </xf>
    <xf numFmtId="0" fontId="62" fillId="0" borderId="0" xfId="0" applyFont="1" applyAlignment="1">
      <alignment horizontal="left" vertical="center" wrapText="1"/>
    </xf>
    <xf numFmtId="0" fontId="66" fillId="0" borderId="6" xfId="0" applyFont="1" applyBorder="1" applyAlignment="1">
      <alignment horizontal="left" vertical="center" wrapText="1"/>
    </xf>
    <xf numFmtId="0" fontId="11" fillId="54" borderId="10" xfId="0" applyFont="1" applyFill="1" applyBorder="1" applyAlignment="1">
      <alignment horizontal="left" vertical="center" wrapText="1"/>
    </xf>
    <xf numFmtId="0" fontId="11" fillId="54" borderId="9" xfId="0" applyFont="1" applyFill="1" applyBorder="1" applyAlignment="1">
      <alignment horizontal="left" vertical="center" wrapText="1"/>
    </xf>
    <xf numFmtId="0" fontId="12" fillId="3" borderId="10"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11" xfId="0" applyFont="1" applyFill="1" applyBorder="1" applyAlignment="1">
      <alignment horizontal="left" vertical="top" wrapText="1"/>
    </xf>
    <xf numFmtId="0" fontId="10" fillId="0" borderId="29" xfId="0" applyFont="1" applyBorder="1" applyAlignment="1">
      <alignment horizontal="left" vertical="center" wrapText="1"/>
    </xf>
    <xf numFmtId="0" fontId="69" fillId="0" borderId="6" xfId="0" applyFont="1" applyBorder="1" applyAlignment="1">
      <alignment horizontal="left" vertical="center" wrapText="1"/>
    </xf>
    <xf numFmtId="0" fontId="11" fillId="54" borderId="9" xfId="0" applyFont="1" applyFill="1" applyBorder="1" applyAlignment="1">
      <alignment horizontal="left" vertical="center"/>
    </xf>
    <xf numFmtId="0" fontId="64" fillId="54" borderId="4" xfId="0" applyFont="1" applyFill="1" applyBorder="1" applyAlignment="1">
      <alignment horizontal="left" vertical="center"/>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5" xfId="0" applyFont="1" applyBorder="1" applyAlignment="1">
      <alignment horizontal="center" vertical="center"/>
    </xf>
    <xf numFmtId="0" fontId="11" fillId="0" borderId="4" xfId="0" applyFont="1" applyBorder="1" applyAlignment="1">
      <alignment vertical="center"/>
    </xf>
    <xf numFmtId="0" fontId="31" fillId="3" borderId="0" xfId="39" applyFont="1" applyFill="1" applyAlignment="1">
      <alignment horizontal="center"/>
    </xf>
    <xf numFmtId="0" fontId="12" fillId="3" borderId="0" xfId="0" applyFont="1" applyFill="1" applyAlignment="1">
      <alignment horizontal="center"/>
    </xf>
    <xf numFmtId="0" fontId="74" fillId="3" borderId="4" xfId="39" applyFont="1" applyFill="1" applyBorder="1" applyAlignment="1">
      <alignment horizontal="center"/>
    </xf>
    <xf numFmtId="0" fontId="12" fillId="3" borderId="4" xfId="39" applyFont="1" applyFill="1" applyBorder="1" applyAlignment="1">
      <alignment horizontal="center"/>
    </xf>
  </cellXfs>
  <cellStyles count="62">
    <cellStyle name="20% - Accent1" xfId="15" builtinId="30" customBuiltin="1"/>
    <cellStyle name="20% - Accent2" xfId="19" builtinId="34" customBuiltin="1"/>
    <cellStyle name="20% - Accent3" xfId="23" builtinId="38" customBuiltin="1"/>
    <cellStyle name="20% - Accent4" xfId="27" builtinId="42" customBuiltin="1"/>
    <cellStyle name="20% - Accent5" xfId="31" builtinId="46" customBuiltin="1"/>
    <cellStyle name="20% - Accent6" xfId="35" builtinId="50" customBuiltin="1"/>
    <cellStyle name="40% - Accent1" xfId="16" builtinId="31" customBuiltin="1"/>
    <cellStyle name="40% - Accent2" xfId="20" builtinId="35" customBuiltin="1"/>
    <cellStyle name="40% - Accent3" xfId="24" builtinId="39" customBuiltin="1"/>
    <cellStyle name="40% - Accent4" xfId="28" builtinId="43" customBuiltin="1"/>
    <cellStyle name="40% - Accent5" xfId="32" builtinId="47" customBuiltin="1"/>
    <cellStyle name="40% - Accent6" xfId="36" builtinId="51" customBuiltin="1"/>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7"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ad" xfId="11" builtinId="27" customBuiltin="1"/>
    <cellStyle name="Calculation 2" xfId="42" xr:uid="{D5CA8116-49CF-4D54-B47C-775862331D9A}"/>
    <cellStyle name="Calculation 3" xfId="41" xr:uid="{CD430226-7490-40DD-B8D3-8EDACD5CB996}"/>
    <cellStyle name="Check Cell" xfId="13" builtinId="23" customBuiltin="1"/>
    <cellStyle name="Comma" xfId="59" builtinId="3"/>
    <cellStyle name="Comma 2" xfId="8" xr:uid="{B2E1072E-885D-4B56-9BA5-C32463F2DFA0}"/>
    <cellStyle name="Comma 2 2" xfId="44" xr:uid="{288CE40B-A85B-46CC-A003-60E6A88B579B}"/>
    <cellStyle name="Comma 2 4" xfId="58" xr:uid="{9F484343-8AC5-4813-9F6E-9B3B6D8023DE}"/>
    <cellStyle name="Comma 3" xfId="43" xr:uid="{85BD6B03-E0D6-4657-967F-3B1098EF2A05}"/>
    <cellStyle name="Comma 4" xfId="38" xr:uid="{701E1D33-F092-42BD-9C75-D88CE872942A}"/>
    <cellStyle name="Explanatory Text 2" xfId="45" xr:uid="{0935829A-7466-4F29-88E6-2EB6C26F4279}"/>
    <cellStyle name="Followed Hyperlink 2" xfId="46" xr:uid="{ED2439D3-7CBF-4B71-B0CE-2C371F057A60}"/>
    <cellStyle name="Good" xfId="10"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39" builtinId="8"/>
    <cellStyle name="Hyperlink 2" xfId="47" xr:uid="{F43A1076-F2C0-4E0E-8204-D1DCA3A2E140}"/>
    <cellStyle name="Hyperlink 2 2" xfId="57" xr:uid="{AFED278B-50B9-4A6C-8104-CB2DC4F00D8B}"/>
    <cellStyle name="Input 2" xfId="48" xr:uid="{E069C923-063C-4C84-885A-D9856EC769AA}"/>
    <cellStyle name="Input data" xfId="49" xr:uid="{8FE7466E-40DD-4D1E-A8E7-21134B1DB271}"/>
    <cellStyle name="Linked Cell 2" xfId="50" xr:uid="{BCD353F4-C631-493D-8DE3-0E562EC80C57}"/>
    <cellStyle name="Neutral" xfId="12" builtinId="28" customBuiltin="1"/>
    <cellStyle name="Normal" xfId="0" builtinId="0"/>
    <cellStyle name="Normal 16" xfId="60" xr:uid="{02E769D0-4331-4F87-940F-AB832E68A5B2}"/>
    <cellStyle name="Normal 2" xfId="40" xr:uid="{A4E23A67-8F5A-4B1B-BD37-08BF4014FBB8}"/>
    <cellStyle name="Normal 2 2" xfId="51" xr:uid="{620D29EA-5CA2-4C24-BA95-9BA3EA84B529}"/>
    <cellStyle name="Normal 3" xfId="6" xr:uid="{8EE07C36-4B24-4CA3-AB33-AC611A43C6B7}"/>
    <cellStyle name="Normal 4" xfId="61" xr:uid="{7025336B-556F-45E6-81B0-1FC44F5AABB3}"/>
    <cellStyle name="Note 2" xfId="52" xr:uid="{50F16A5A-93C6-472C-A97F-D20FA8DB186E}"/>
    <cellStyle name="Output 2" xfId="53" xr:uid="{54CF303E-095E-42C1-951F-885596B0273F}"/>
    <cellStyle name="Percent" xfId="7" builtinId="5"/>
    <cellStyle name="Percent 2" xfId="54" xr:uid="{4BBD7319-EBDA-42E6-850B-1A29F0437330}"/>
    <cellStyle name="Selection" xfId="55" xr:uid="{DDF0C19E-8223-4CA5-AD04-9E9BA742589E}"/>
    <cellStyle name="Title" xfId="9" builtinId="15" customBuiltin="1"/>
    <cellStyle name="Total" xfId="5" builtinId="25" customBuiltin="1"/>
    <cellStyle name="Warning Text 2" xfId="56" xr:uid="{EB3D93BD-91EC-4FDE-80F3-270A6095C700}"/>
  </cellStyles>
  <dxfs count="11">
    <dxf>
      <font>
        <b/>
        <i val="0"/>
        <color auto="1"/>
      </font>
      <fill>
        <patternFill>
          <bgColor theme="0" tint="-4.9989318521683403E-2"/>
        </patternFill>
      </fill>
    </dxf>
    <dxf>
      <font>
        <b/>
        <i val="0"/>
        <color theme="4"/>
      </font>
      <fill>
        <patternFill patternType="none">
          <bgColor auto="1"/>
        </patternFill>
      </fill>
    </dxf>
    <dxf>
      <font>
        <b/>
        <i val="0"/>
        <color theme="4" tint="-0.499984740745262"/>
      </font>
      <fill>
        <patternFill>
          <bgColor theme="0" tint="-4.9989318521683403E-2"/>
        </patternFill>
      </fill>
    </dxf>
    <dxf>
      <fill>
        <patternFill>
          <bgColor theme="5"/>
        </patternFill>
      </fill>
    </dxf>
    <dxf>
      <fill>
        <patternFill>
          <bgColor rgb="FFFFFF00"/>
        </patternFill>
      </fill>
    </dxf>
    <dxf>
      <fill>
        <patternFill>
          <bgColor rgb="FFFFC000"/>
        </patternFill>
      </fill>
    </dxf>
    <dxf>
      <fill>
        <patternFill>
          <bgColor rgb="FFFF0000"/>
        </patternFill>
      </fill>
    </dxf>
    <dxf>
      <fill>
        <patternFill>
          <bgColor theme="5"/>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183C73"/>
      <color rgb="FF366340"/>
      <color rgb="FFFFFFE1"/>
      <color rgb="FFFFFFCC"/>
      <color rgb="FF003F79"/>
      <color rgb="FFA6D9F7"/>
      <color rgb="FFF5F17F"/>
      <color rgb="FF046C8B"/>
      <color rgb="FF0095D6"/>
      <color rgb="FFE6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32319975811829E-2"/>
          <c:y val="3.8274841076679403E-2"/>
          <c:w val="0.8887810180953144"/>
          <c:h val="0.9481498458320845"/>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'Uncertainty Analysis'!$P$30</c:f>
                <c:numCache>
                  <c:formatCode>0.00</c:formatCode>
                  <c:ptCount val="1"/>
                  <c:pt idx="0">
                    <c:v>-0.92160595371571463</c:v>
                  </c:pt>
                </c:numCache>
              </c:numRef>
            </c:plus>
            <c:minus>
              <c:numRef>
                <c:f>'Uncertainty Analysis'!$Q$30</c:f>
                <c:numCache>
                  <c:formatCode>0.00</c:formatCode>
                  <c:ptCount val="1"/>
                  <c:pt idx="0">
                    <c:v>-0.54501312561871984</c:v>
                  </c:pt>
                </c:numCache>
              </c:numRef>
            </c:minus>
            <c:spPr>
              <a:noFill/>
              <a:ln w="25400" cap="flat" cmpd="sng" algn="ctr">
                <a:solidFill>
                  <a:schemeClr val="tx1">
                    <a:lumMod val="65000"/>
                    <a:lumOff val="35000"/>
                  </a:schemeClr>
                </a:solidFill>
                <a:round/>
              </a:ln>
              <a:effectLst/>
            </c:spPr>
          </c:errBars>
          <c:cat>
            <c:strRef>
              <c:f>'Uncertainty Analysis'!$M$29</c:f>
              <c:strCache>
                <c:ptCount val="1"/>
                <c:pt idx="0">
                  <c:v>Total carbon savings enabled (tCO2e)</c:v>
                </c:pt>
              </c:strCache>
            </c:strRef>
          </c:cat>
          <c:val>
            <c:numRef>
              <c:f>'Uncertainty Analysis'!$O$29</c:f>
              <c:numCache>
                <c:formatCode>0.00</c:formatCode>
                <c:ptCount val="1"/>
                <c:pt idx="0">
                  <c:v>-1.594886055645014</c:v>
                </c:pt>
              </c:numCache>
            </c:numRef>
          </c:val>
          <c:extLst>
            <c:ext xmlns:c16="http://schemas.microsoft.com/office/drawing/2014/chart" uri="{C3380CC4-5D6E-409C-BE32-E72D297353CC}">
              <c16:uniqueId val="{00000000-C6DF-484F-AB56-90768B1AC2CD}"/>
            </c:ext>
          </c:extLst>
        </c:ser>
        <c:dLbls>
          <c:showLegendKey val="0"/>
          <c:showVal val="0"/>
          <c:showCatName val="0"/>
          <c:showSerName val="0"/>
          <c:showPercent val="0"/>
          <c:showBubbleSize val="0"/>
        </c:dLbls>
        <c:gapWidth val="219"/>
        <c:overlap val="-7"/>
        <c:axId val="390231359"/>
        <c:axId val="653839327"/>
      </c:barChart>
      <c:catAx>
        <c:axId val="39023135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Lora" pitchFamily="2" charset="0"/>
                <a:ea typeface="+mn-ea"/>
                <a:cs typeface="+mn-cs"/>
              </a:defRPr>
            </a:pPr>
            <a:endParaRPr lang="en-US"/>
          </a:p>
        </c:txPr>
        <c:crossAx val="653839327"/>
        <c:crosses val="autoZero"/>
        <c:auto val="0"/>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76145931904727E-2"/>
          <c:y val="3.8108435821929673E-2"/>
          <c:w val="0.82976220329146766"/>
          <c:h val="0.86706470941638725"/>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'Uncertainty Analysis'!$P$30</c:f>
                <c:numCache>
                  <c:formatCode>0.00</c:formatCode>
                  <c:ptCount val="1"/>
                  <c:pt idx="0">
                    <c:v>-0.92160595371571463</c:v>
                  </c:pt>
                </c:numCache>
              </c:numRef>
            </c:plus>
            <c:minus>
              <c:numRef>
                <c:f>'Uncertainty Analysis'!$Q$30</c:f>
                <c:numCache>
                  <c:formatCode>0.00</c:formatCode>
                  <c:ptCount val="1"/>
                  <c:pt idx="0">
                    <c:v>-0.54501312561871984</c:v>
                  </c:pt>
                </c:numCache>
              </c:numRef>
            </c:minus>
            <c:spPr>
              <a:noFill/>
              <a:ln w="25400" cap="flat" cmpd="sng" algn="ctr">
                <a:solidFill>
                  <a:schemeClr val="tx1">
                    <a:lumMod val="65000"/>
                    <a:lumOff val="35000"/>
                  </a:schemeClr>
                </a:solidFill>
                <a:round/>
              </a:ln>
              <a:effectLst/>
            </c:spPr>
          </c:errBars>
          <c:val>
            <c:numRef>
              <c:f>'Uncertainty Analysis'!$O$29</c:f>
              <c:numCache>
                <c:formatCode>0.00</c:formatCode>
                <c:ptCount val="1"/>
                <c:pt idx="0">
                  <c:v>-1.594886055645014</c:v>
                </c:pt>
              </c:numCache>
            </c:numRef>
          </c:val>
          <c:extLst>
            <c:ext xmlns:c16="http://schemas.microsoft.com/office/drawing/2014/chart" uri="{C3380CC4-5D6E-409C-BE32-E72D297353CC}">
              <c16:uniqueId val="{00000000-1A2F-404F-8940-EAE4D00725BB}"/>
            </c:ext>
          </c:extLst>
        </c:ser>
        <c:dLbls>
          <c:showLegendKey val="0"/>
          <c:showVal val="0"/>
          <c:showCatName val="0"/>
          <c:showSerName val="0"/>
          <c:showPercent val="0"/>
          <c:showBubbleSize val="0"/>
        </c:dLbls>
        <c:gapWidth val="219"/>
        <c:overlap val="-27"/>
        <c:axId val="390231359"/>
        <c:axId val="653839327"/>
      </c:barChart>
      <c:catAx>
        <c:axId val="3902313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Lora" pitchFamily="2" charset="0"/>
                  </a:rPr>
                  <a:t>Total</a:t>
                </a:r>
                <a:r>
                  <a:rPr lang="en-GB" baseline="0">
                    <a:latin typeface="Lora" pitchFamily="2" charset="0"/>
                  </a:rPr>
                  <a:t> carbon savings enabled (tCO2e)</a:t>
                </a:r>
                <a:endParaRPr lang="en-GB">
                  <a:latin typeface="Lora" pitchFamily="2"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53839327"/>
        <c:crosses val="autoZero"/>
        <c:auto val="1"/>
        <c:lblAlgn val="ctr"/>
        <c:lblOffset val="100"/>
        <c:noMultiLvlLbl val="0"/>
      </c:catAx>
      <c:valAx>
        <c:axId val="6538393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390231359"/>
        <c:crosses val="autoZero"/>
        <c:crossBetween val="between"/>
        <c:min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88760476186278"/>
          <c:y val="1.8330902744637716E-2"/>
          <c:w val="0.58375458005743752"/>
          <c:h val="0.86972050605560292"/>
        </c:manualLayout>
      </c:layout>
      <c:barChart>
        <c:barDir val="bar"/>
        <c:grouping val="clustered"/>
        <c:varyColors val="0"/>
        <c:ser>
          <c:idx val="0"/>
          <c:order val="0"/>
          <c:spPr>
            <a:solidFill>
              <a:srgbClr val="183C73"/>
            </a:solidFill>
            <a:ln>
              <a:noFill/>
            </a:ln>
            <a:effectLst/>
          </c:spPr>
          <c:invertIfNegative val="0"/>
          <c:cat>
            <c:strRef>
              <c:f>'Sensitivity Analysis'!$N$6:$N$14</c:f>
              <c:strCache>
                <c:ptCount val="9"/>
                <c:pt idx="0">
                  <c:v>IoT MicroClimate sensor station (SOIL-LEAF) activity data +5%/-5%</c:v>
                </c:pt>
                <c:pt idx="1">
                  <c:v>IoT MicroClimate sensor station (SOIL-PH) activity data +5%/-5%</c:v>
                </c:pt>
                <c:pt idx="2">
                  <c:v>IoT WeatherStation sensor station (AIR – WIND – RAIN – SOLAR) activity data +5%/-5%</c:v>
                </c:pt>
                <c:pt idx="3">
                  <c:v>Water activity data +5%/-5%</c:v>
                </c:pt>
                <c:pt idx="4">
                  <c:v>Diesel  activity data +5%/-5%</c:v>
                </c:pt>
                <c:pt idx="5">
                  <c:v>Electricity  activity data +5%/-5%</c:v>
                </c:pt>
                <c:pt idx="6">
                  <c:v>IoT MicroClimate sensor station (SOIL-LEAF) emission factor +5%/-5%</c:v>
                </c:pt>
                <c:pt idx="7">
                  <c:v>IoT MicroClimate sensor station (SOIL-PH) emission factor +5%/-5%</c:v>
                </c:pt>
                <c:pt idx="8">
                  <c:v>IoT WeatherStation sensor station (AIR – WIND – RAIN – SOLAR) emission factor +5%/-5%</c:v>
                </c:pt>
              </c:strCache>
            </c:strRef>
          </c:cat>
          <c:val>
            <c:numRef>
              <c:f>'Sensitivity Analysis'!$L$6:$L$14</c:f>
              <c:numCache>
                <c:formatCode>0.00%</c:formatCode>
                <c:ptCount val="9"/>
                <c:pt idx="0">
                  <c:v>1.9628407490612787E-4</c:v>
                </c:pt>
                <c:pt idx="1">
                  <c:v>9.8142037453063935E-5</c:v>
                </c:pt>
                <c:pt idx="2">
                  <c:v>1.8323718203538952E-4</c:v>
                </c:pt>
                <c:pt idx="3">
                  <c:v>-3.9920244738755883E-6</c:v>
                </c:pt>
                <c:pt idx="4">
                  <c:v>-3.4200910022722075E-2</c:v>
                </c:pt>
                <c:pt idx="5">
                  <c:v>-1.627276124720034E-2</c:v>
                </c:pt>
                <c:pt idx="6">
                  <c:v>1.9628407490612787E-4</c:v>
                </c:pt>
                <c:pt idx="7">
                  <c:v>9.8142037453063935E-5</c:v>
                </c:pt>
                <c:pt idx="8">
                  <c:v>1.8323718203538952E-4</c:v>
                </c:pt>
              </c:numCache>
            </c:numRef>
          </c:val>
          <c:extLst>
            <c:ext xmlns:c16="http://schemas.microsoft.com/office/drawing/2014/chart" uri="{C3380CC4-5D6E-409C-BE32-E72D297353CC}">
              <c16:uniqueId val="{00000000-BF8A-4264-860E-63D8CABFC2A5}"/>
            </c:ext>
          </c:extLst>
        </c:ser>
        <c:ser>
          <c:idx val="1"/>
          <c:order val="1"/>
          <c:spPr>
            <a:solidFill>
              <a:srgbClr val="A6D9F7"/>
            </a:solidFill>
            <a:ln>
              <a:noFill/>
            </a:ln>
            <a:effectLst/>
          </c:spPr>
          <c:invertIfNegative val="0"/>
          <c:cat>
            <c:strRef>
              <c:f>'Sensitivity Analysis'!$N$6:$N$14</c:f>
              <c:strCache>
                <c:ptCount val="9"/>
                <c:pt idx="0">
                  <c:v>IoT MicroClimate sensor station (SOIL-LEAF) activity data +5%/-5%</c:v>
                </c:pt>
                <c:pt idx="1">
                  <c:v>IoT MicroClimate sensor station (SOIL-PH) activity data +5%/-5%</c:v>
                </c:pt>
                <c:pt idx="2">
                  <c:v>IoT WeatherStation sensor station (AIR – WIND – RAIN – SOLAR) activity data +5%/-5%</c:v>
                </c:pt>
                <c:pt idx="3">
                  <c:v>Water activity data +5%/-5%</c:v>
                </c:pt>
                <c:pt idx="4">
                  <c:v>Diesel  activity data +5%/-5%</c:v>
                </c:pt>
                <c:pt idx="5">
                  <c:v>Electricity  activity data +5%/-5%</c:v>
                </c:pt>
                <c:pt idx="6">
                  <c:v>IoT MicroClimate sensor station (SOIL-LEAF) emission factor +5%/-5%</c:v>
                </c:pt>
                <c:pt idx="7">
                  <c:v>IoT MicroClimate sensor station (SOIL-PH) emission factor +5%/-5%</c:v>
                </c:pt>
                <c:pt idx="8">
                  <c:v>IoT WeatherStation sensor station (AIR – WIND – RAIN – SOLAR) emission factor +5%/-5%</c:v>
                </c:pt>
              </c:strCache>
            </c:strRef>
          </c:cat>
          <c:val>
            <c:numRef>
              <c:f>'Sensitivity Analysis'!$M$6:$M$14</c:f>
              <c:numCache>
                <c:formatCode>0.00%</c:formatCode>
                <c:ptCount val="9"/>
                <c:pt idx="0">
                  <c:v>-1.96284074906794E-4</c:v>
                </c:pt>
                <c:pt idx="1">
                  <c:v>-9.8142037453508024E-5</c:v>
                </c:pt>
                <c:pt idx="2">
                  <c:v>-1.8323718203594463E-4</c:v>
                </c:pt>
                <c:pt idx="3">
                  <c:v>3.9920244732094545E-6</c:v>
                </c:pt>
                <c:pt idx="4">
                  <c:v>3.4200910022721409E-2</c:v>
                </c:pt>
                <c:pt idx="5">
                  <c:v>1.6272761247200007E-2</c:v>
                </c:pt>
                <c:pt idx="6">
                  <c:v>-1.96284074906794E-4</c:v>
                </c:pt>
                <c:pt idx="7">
                  <c:v>-9.8142037453508024E-5</c:v>
                </c:pt>
                <c:pt idx="8">
                  <c:v>-1.8323718203594463E-4</c:v>
                </c:pt>
              </c:numCache>
            </c:numRef>
          </c:val>
          <c:extLst>
            <c:ext xmlns:c16="http://schemas.microsoft.com/office/drawing/2014/chart" uri="{C3380CC4-5D6E-409C-BE32-E72D297353CC}">
              <c16:uniqueId val="{00000001-BF8A-4264-860E-63D8CABFC2A5}"/>
            </c:ext>
          </c:extLst>
        </c:ser>
        <c:dLbls>
          <c:showLegendKey val="0"/>
          <c:showVal val="0"/>
          <c:showCatName val="0"/>
          <c:showSerName val="0"/>
          <c:showPercent val="0"/>
          <c:showBubbleSize val="0"/>
        </c:dLbls>
        <c:gapWidth val="182"/>
        <c:axId val="850914463"/>
        <c:axId val="618690351"/>
      </c:barChart>
      <c:catAx>
        <c:axId val="85091446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618690351"/>
        <c:crosses val="autoZero"/>
        <c:auto val="1"/>
        <c:lblAlgn val="ctr"/>
        <c:lblOffset val="100"/>
        <c:noMultiLvlLbl val="0"/>
      </c:catAx>
      <c:valAx>
        <c:axId val="6186903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r>
                  <a:rPr lang="en-GB">
                    <a:latin typeface="Lora" pitchFamily="2" charset="0"/>
                  </a:rPr>
                  <a:t>Percentage variation in net carbon impact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Lora" pitchFamily="2"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Lora" pitchFamily="2" charset="0"/>
                <a:ea typeface="+mn-ea"/>
                <a:cs typeface="+mn-cs"/>
              </a:defRPr>
            </a:pPr>
            <a:endParaRPr lang="en-US"/>
          </a:p>
        </c:txPr>
        <c:crossAx val="85091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48564</xdr:colOff>
      <xdr:row>43</xdr:row>
      <xdr:rowOff>162719</xdr:rowOff>
    </xdr:from>
    <xdr:to>
      <xdr:col>2</xdr:col>
      <xdr:colOff>597739</xdr:colOff>
      <xdr:row>60</xdr:row>
      <xdr:rowOff>288761</xdr:rowOff>
    </xdr:to>
    <xdr:graphicFrame macro="">
      <xdr:nvGraphicFramePr>
        <xdr:cNvPr id="3" name="Chart 1">
          <a:extLst>
            <a:ext uri="{FF2B5EF4-FFF2-40B4-BE49-F238E27FC236}">
              <a16:creationId xmlns:a16="http://schemas.microsoft.com/office/drawing/2014/main" id="{7E3F9B61-D8CB-4916-A022-1DD839689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674370</xdr:colOff>
      <xdr:row>18</xdr:row>
      <xdr:rowOff>0</xdr:rowOff>
    </xdr:from>
    <xdr:to>
      <xdr:col>21</xdr:col>
      <xdr:colOff>1781175</xdr:colOff>
      <xdr:row>29</xdr:row>
      <xdr:rowOff>571500</xdr:rowOff>
    </xdr:to>
    <xdr:graphicFrame macro="">
      <xdr:nvGraphicFramePr>
        <xdr:cNvPr id="5" name="Chart 1">
          <a:extLst>
            <a:ext uri="{FF2B5EF4-FFF2-40B4-BE49-F238E27FC236}">
              <a16:creationId xmlns:a16="http://schemas.microsoft.com/office/drawing/2014/main" id="{0138A63D-1142-45F7-A741-1C0D4228B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583565</xdr:colOff>
      <xdr:row>18</xdr:row>
      <xdr:rowOff>81642</xdr:rowOff>
    </xdr:from>
    <xdr:to>
      <xdr:col>7</xdr:col>
      <xdr:colOff>10885</xdr:colOff>
      <xdr:row>40</xdr:row>
      <xdr:rowOff>242116</xdr:rowOff>
    </xdr:to>
    <xdr:graphicFrame macro="">
      <xdr:nvGraphicFramePr>
        <xdr:cNvPr id="2" name="Chart 1">
          <a:extLst>
            <a:ext uri="{FF2B5EF4-FFF2-40B4-BE49-F238E27FC236}">
              <a16:creationId xmlns:a16="http://schemas.microsoft.com/office/drawing/2014/main" id="{FE915D73-5D5E-4353-8C83-557BBF92A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333375</xdr:colOff>
      <xdr:row>7</xdr:row>
      <xdr:rowOff>28575</xdr:rowOff>
    </xdr:from>
    <xdr:to>
      <xdr:col>11</xdr:col>
      <xdr:colOff>551791</xdr:colOff>
      <xdr:row>14</xdr:row>
      <xdr:rowOff>63620</xdr:rowOff>
    </xdr:to>
    <xdr:pic>
      <xdr:nvPicPr>
        <xdr:cNvPr id="4" name="Εικόνα 2">
          <a:extLst>
            <a:ext uri="{FF2B5EF4-FFF2-40B4-BE49-F238E27FC236}">
              <a16:creationId xmlns:a16="http://schemas.microsoft.com/office/drawing/2014/main" id="{CA085D7A-C1DD-4C3D-ACA4-B1DE7DB37E6A}"/>
            </a:ext>
          </a:extLst>
        </xdr:cNvPr>
        <xdr:cNvPicPr>
          <a:picLocks noChangeAspect="1"/>
        </xdr:cNvPicPr>
      </xdr:nvPicPr>
      <xdr:blipFill>
        <a:blip xmlns:r="http://schemas.openxmlformats.org/officeDocument/2006/relationships" r:embed="rId1"/>
        <a:stretch>
          <a:fillRect/>
        </a:stretch>
      </xdr:blipFill>
      <xdr:spPr>
        <a:xfrm>
          <a:off x="21297900" y="1685925"/>
          <a:ext cx="1793216" cy="2463920"/>
        </a:xfrm>
        <a:prstGeom prst="rect">
          <a:avLst/>
        </a:prstGeom>
      </xdr:spPr>
    </xdr:pic>
    <xdr:clientData/>
  </xdr:twoCellAnchor>
  <xdr:twoCellAnchor editAs="oneCell">
    <xdr:from>
      <xdr:col>9</xdr:col>
      <xdr:colOff>361950</xdr:colOff>
      <xdr:row>17</xdr:row>
      <xdr:rowOff>190500</xdr:rowOff>
    </xdr:from>
    <xdr:to>
      <xdr:col>11</xdr:col>
      <xdr:colOff>505600</xdr:colOff>
      <xdr:row>20</xdr:row>
      <xdr:rowOff>130356</xdr:rowOff>
    </xdr:to>
    <xdr:pic>
      <xdr:nvPicPr>
        <xdr:cNvPr id="8" name="Εικόνα 3">
          <a:extLst>
            <a:ext uri="{FF2B5EF4-FFF2-40B4-BE49-F238E27FC236}">
              <a16:creationId xmlns:a16="http://schemas.microsoft.com/office/drawing/2014/main" id="{4A303C08-4CFF-4852-872C-85DB17C40E13}"/>
            </a:ext>
          </a:extLst>
        </xdr:cNvPr>
        <xdr:cNvPicPr>
          <a:picLocks noChangeAspect="1"/>
        </xdr:cNvPicPr>
      </xdr:nvPicPr>
      <xdr:blipFill>
        <a:blip xmlns:r="http://schemas.openxmlformats.org/officeDocument/2006/relationships" r:embed="rId2"/>
        <a:stretch>
          <a:fillRect/>
        </a:stretch>
      </xdr:blipFill>
      <xdr:spPr>
        <a:xfrm>
          <a:off x="21326475" y="5267325"/>
          <a:ext cx="1715275" cy="2416356"/>
        </a:xfrm>
        <a:prstGeom prst="rect">
          <a:avLst/>
        </a:prstGeom>
      </xdr:spPr>
    </xdr:pic>
    <xdr:clientData/>
  </xdr:twoCellAnchor>
  <xdr:twoCellAnchor editAs="oneCell">
    <xdr:from>
      <xdr:col>9</xdr:col>
      <xdr:colOff>247650</xdr:colOff>
      <xdr:row>29</xdr:row>
      <xdr:rowOff>752475</xdr:rowOff>
    </xdr:from>
    <xdr:to>
      <xdr:col>13</xdr:col>
      <xdr:colOff>96072</xdr:colOff>
      <xdr:row>36</xdr:row>
      <xdr:rowOff>210187</xdr:rowOff>
    </xdr:to>
    <xdr:pic>
      <xdr:nvPicPr>
        <xdr:cNvPr id="7" name="Εικόνα 1">
          <a:extLst>
            <a:ext uri="{FF2B5EF4-FFF2-40B4-BE49-F238E27FC236}">
              <a16:creationId xmlns:a16="http://schemas.microsoft.com/office/drawing/2014/main" id="{6F3839B8-BC06-4019-8F97-3CF9AFF7D4A5}"/>
            </a:ext>
          </a:extLst>
        </xdr:cNvPr>
        <xdr:cNvPicPr>
          <a:picLocks noChangeAspect="1"/>
        </xdr:cNvPicPr>
      </xdr:nvPicPr>
      <xdr:blipFill>
        <a:blip xmlns:r="http://schemas.openxmlformats.org/officeDocument/2006/relationships" r:embed="rId3"/>
        <a:stretch>
          <a:fillRect/>
        </a:stretch>
      </xdr:blipFill>
      <xdr:spPr>
        <a:xfrm>
          <a:off x="15430500" y="8115300"/>
          <a:ext cx="3010722" cy="2924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254744</xdr:colOff>
      <xdr:row>0</xdr:row>
      <xdr:rowOff>144780</xdr:rowOff>
    </xdr:from>
    <xdr:to>
      <xdr:col>1</xdr:col>
      <xdr:colOff>266782</xdr:colOff>
      <xdr:row>1</xdr:row>
      <xdr:rowOff>320675</xdr:rowOff>
    </xdr:to>
    <xdr:pic>
      <xdr:nvPicPr>
        <xdr:cNvPr id="2" name="Picture 1">
          <a:extLst>
            <a:ext uri="{FF2B5EF4-FFF2-40B4-BE49-F238E27FC236}">
              <a16:creationId xmlns:a16="http://schemas.microsoft.com/office/drawing/2014/main" id="{FE768711-CC5E-443B-982B-DC010B940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4744" y="144780"/>
          <a:ext cx="675613" cy="4267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eonora Saccone" id="{12BB7AC6-71BB-47D2-84B0-EEDE935044B7}" userId="S::Eleonora.Saccone@carbontrust.com::50934e15-d4f4-46e2-a711-31f3063c7887" providerId="AD"/>
</personList>
</file>

<file path=xl/theme/theme1.xml><?xml version="1.0" encoding="utf-8"?>
<a:theme xmlns:a="http://schemas.openxmlformats.org/drawingml/2006/main" name="Office Theme">
  <a:themeElements>
    <a:clrScheme name="Carbon Trust 1">
      <a:dk1>
        <a:srgbClr val="000000"/>
      </a:dk1>
      <a:lt1>
        <a:srgbClr val="FFFFFF"/>
      </a:lt1>
      <a:dk2>
        <a:srgbClr val="1D192B"/>
      </a:dk2>
      <a:lt2>
        <a:srgbClr val="00A7FF"/>
      </a:lt2>
      <a:accent1>
        <a:srgbClr val="2147ED"/>
      </a:accent1>
      <a:accent2>
        <a:srgbClr val="00FF6C"/>
      </a:accent2>
      <a:accent3>
        <a:srgbClr val="C724B1"/>
      </a:accent3>
      <a:accent4>
        <a:srgbClr val="00007F"/>
      </a:accent4>
      <a:accent5>
        <a:srgbClr val="D6D6D4"/>
      </a:accent5>
      <a:accent6>
        <a:srgbClr val="71FFFF"/>
      </a:accent6>
      <a:hlink>
        <a:srgbClr val="00007F"/>
      </a:hlink>
      <a:folHlink>
        <a:srgbClr val="A7B8F5"/>
      </a:folHlink>
    </a:clrScheme>
    <a:fontScheme name="Carbon Trust 1">
      <a:majorFont>
        <a:latin typeface="Arial"/>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25" dT="2026-03-06T11:57:56.53" personId="{12BB7AC6-71BB-47D2-84B0-EEDE935044B7}" id="{314EA2B7-DC60-48E0-8767-91B7CCFAA7A7}">
    <text>Adjust that these are negative valies and fix the cjart</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texaset.tamu.edu/Resources/Documents/Weather%20Station%20Sensor%20Maintenance%20and%20Guide%202015.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7" Type="http://schemas.openxmlformats.org/officeDocument/2006/relationships/printerSettings" Target="../printerSettings/printerSettings4.bin"/><Relationship Id="rId2" Type="http://schemas.openxmlformats.org/officeDocument/2006/relationships/hyperlink" Target="https://www.eea.europa.eu/en/analysis/indicators/waste-recycling-in-europe" TargetMode="External"/><Relationship Id="rId1" Type="http://schemas.openxmlformats.org/officeDocument/2006/relationships/hyperlink" Target="https://ourworldindata.org/grapher/carbon-intensity-electricity?tab=table&amp;country=~GRC&amp;mapSelect=~GRC" TargetMode="External"/><Relationship Id="rId6"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5"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 Id="rId4" Type="http://schemas.openxmlformats.org/officeDocument/2006/relationships/hyperlink" Target="https://view.officeapps.live.com/op/view.aspx?src=https%3A%2F%2Fassets.publishing.service.gov.uk%2Fmedia%2F6722567487df31a87d8c497e%2Fghg-conversion-factors-2024-full_set__for_advanced_users__v1_1.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B675-5F34-4A3C-87D5-8B49D1EFDB8E}">
  <sheetPr>
    <tabColor rgb="FFF5F17F"/>
  </sheetPr>
  <dimension ref="B2:B22"/>
  <sheetViews>
    <sheetView workbookViewId="0"/>
  </sheetViews>
  <sheetFormatPr defaultColWidth="8.75" defaultRowHeight="19.5"/>
  <cols>
    <col min="1" max="1" width="4.25" style="3" customWidth="1"/>
    <col min="2" max="2" width="155.875" style="4" customWidth="1"/>
    <col min="3" max="16384" width="8.75" style="3"/>
  </cols>
  <sheetData>
    <row r="2" spans="2:2">
      <c r="B2" s="32" t="s">
        <v>0</v>
      </c>
    </row>
    <row r="3" spans="2:2">
      <c r="B3" s="33"/>
    </row>
    <row r="4" spans="2:2" ht="35.1">
      <c r="B4" s="34" t="s">
        <v>1</v>
      </c>
    </row>
    <row r="5" spans="2:2">
      <c r="B5" s="34"/>
    </row>
    <row r="6" spans="2:2">
      <c r="B6" s="36" t="s">
        <v>2</v>
      </c>
    </row>
    <row r="7" spans="2:2">
      <c r="B7" s="34" t="s">
        <v>3</v>
      </c>
    </row>
    <row r="8" spans="2:2" ht="35.1">
      <c r="B8" s="35" t="s">
        <v>4</v>
      </c>
    </row>
    <row r="9" spans="2:2" ht="35.1">
      <c r="B9" s="35" t="s">
        <v>5</v>
      </c>
    </row>
    <row r="10" spans="2:2" ht="35.1">
      <c r="B10" s="35" t="s">
        <v>6</v>
      </c>
    </row>
    <row r="11" spans="2:2">
      <c r="B11" s="36" t="s">
        <v>7</v>
      </c>
    </row>
    <row r="12" spans="2:2" ht="35.1">
      <c r="B12" s="34" t="s">
        <v>8</v>
      </c>
    </row>
    <row r="13" spans="2:2" ht="35.1">
      <c r="B13" s="34" t="s">
        <v>9</v>
      </c>
    </row>
    <row r="14" spans="2:2">
      <c r="B14" s="36" t="s">
        <v>10</v>
      </c>
    </row>
    <row r="15" spans="2:2" ht="52.5">
      <c r="B15" s="34" t="s">
        <v>11</v>
      </c>
    </row>
    <row r="16" spans="2:2">
      <c r="B16" s="36" t="s">
        <v>12</v>
      </c>
    </row>
    <row r="17" spans="2:2">
      <c r="B17" s="34" t="s">
        <v>13</v>
      </c>
    </row>
    <row r="18" spans="2:2">
      <c r="B18" s="34" t="s">
        <v>14</v>
      </c>
    </row>
    <row r="19" spans="2:2">
      <c r="B19" s="34" t="s">
        <v>15</v>
      </c>
    </row>
    <row r="20" spans="2:2" ht="35.1">
      <c r="B20" s="34" t="s">
        <v>16</v>
      </c>
    </row>
    <row r="21" spans="2:2">
      <c r="B21" s="34"/>
    </row>
    <row r="22" spans="2:2" ht="52.5">
      <c r="B22" s="34" t="s">
        <v>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6ABD-0909-4F38-B2EF-77B4CF8E73B0}">
  <sheetPr>
    <tabColor theme="4"/>
  </sheetPr>
  <dimension ref="B2:F17"/>
  <sheetViews>
    <sheetView topLeftCell="A5" workbookViewId="0">
      <selection activeCell="E12" sqref="E12"/>
    </sheetView>
  </sheetViews>
  <sheetFormatPr defaultColWidth="8.875" defaultRowHeight="14.45"/>
  <cols>
    <col min="3" max="3" width="49.875" customWidth="1"/>
    <col min="4" max="4" width="60" customWidth="1"/>
    <col min="5" max="5" width="45" style="117" customWidth="1"/>
  </cols>
  <sheetData>
    <row r="2" spans="2:6">
      <c r="B2" s="108" t="s">
        <v>69</v>
      </c>
      <c r="C2" s="108" t="s">
        <v>426</v>
      </c>
      <c r="D2" s="108" t="s">
        <v>427</v>
      </c>
      <c r="E2" s="109" t="s">
        <v>428</v>
      </c>
      <c r="F2" s="108" t="s">
        <v>429</v>
      </c>
    </row>
    <row r="3" spans="2:6" ht="45.75" customHeight="1">
      <c r="B3" s="110">
        <v>1</v>
      </c>
      <c r="C3" s="111" t="s">
        <v>430</v>
      </c>
      <c r="D3" s="111" t="s">
        <v>431</v>
      </c>
      <c r="E3" s="112" t="s">
        <v>432</v>
      </c>
      <c r="F3" s="113" t="s">
        <v>433</v>
      </c>
    </row>
    <row r="4" spans="2:6" ht="29.1">
      <c r="B4" s="110">
        <v>2</v>
      </c>
      <c r="C4" s="110" t="s">
        <v>434</v>
      </c>
      <c r="D4" s="111" t="s">
        <v>435</v>
      </c>
      <c r="E4" s="112" t="s">
        <v>436</v>
      </c>
      <c r="F4" s="113" t="s">
        <v>433</v>
      </c>
    </row>
    <row r="5" spans="2:6" ht="243.95" customHeight="1">
      <c r="B5" s="110">
        <v>3</v>
      </c>
      <c r="C5" s="110" t="s">
        <v>434</v>
      </c>
      <c r="D5" s="111" t="s">
        <v>437</v>
      </c>
      <c r="E5" s="114" t="s">
        <v>438</v>
      </c>
      <c r="F5" s="113" t="s">
        <v>433</v>
      </c>
    </row>
    <row r="6" spans="2:6" ht="57.95">
      <c r="B6" s="110">
        <v>4</v>
      </c>
      <c r="C6" s="110" t="s">
        <v>434</v>
      </c>
      <c r="D6" s="111" t="s">
        <v>439</v>
      </c>
      <c r="E6" s="114" t="s">
        <v>440</v>
      </c>
      <c r="F6" s="113" t="s">
        <v>433</v>
      </c>
    </row>
    <row r="7" spans="2:6" ht="57.95">
      <c r="B7" s="110">
        <v>5</v>
      </c>
      <c r="C7" s="110" t="s">
        <v>434</v>
      </c>
      <c r="D7" s="111" t="s">
        <v>441</v>
      </c>
      <c r="E7" s="115" t="s">
        <v>432</v>
      </c>
      <c r="F7" s="113" t="s">
        <v>433</v>
      </c>
    </row>
    <row r="8" spans="2:6" ht="56.1">
      <c r="B8" s="110">
        <v>6</v>
      </c>
      <c r="C8" s="110" t="s">
        <v>434</v>
      </c>
      <c r="D8" s="111" t="s">
        <v>442</v>
      </c>
      <c r="E8" s="116" t="s">
        <v>443</v>
      </c>
      <c r="F8" s="113" t="s">
        <v>433</v>
      </c>
    </row>
    <row r="9" spans="2:6" ht="42">
      <c r="B9" s="110">
        <v>7</v>
      </c>
      <c r="C9" s="110" t="s">
        <v>434</v>
      </c>
      <c r="D9" s="111" t="s">
        <v>444</v>
      </c>
      <c r="E9" s="116" t="s">
        <v>445</v>
      </c>
      <c r="F9" s="113" t="s">
        <v>433</v>
      </c>
    </row>
    <row r="10" spans="2:6" ht="43.5">
      <c r="B10" s="110">
        <v>8</v>
      </c>
      <c r="C10" s="110" t="s">
        <v>434</v>
      </c>
      <c r="D10" s="111" t="s">
        <v>446</v>
      </c>
      <c r="E10" s="114" t="s">
        <v>447</v>
      </c>
      <c r="F10" s="113" t="s">
        <v>433</v>
      </c>
    </row>
    <row r="11" spans="2:6" ht="29.1">
      <c r="B11" s="110">
        <v>9</v>
      </c>
      <c r="C11" s="110" t="s">
        <v>434</v>
      </c>
      <c r="D11" s="111" t="s">
        <v>448</v>
      </c>
      <c r="E11" s="114" t="s">
        <v>449</v>
      </c>
      <c r="F11" s="113" t="s">
        <v>433</v>
      </c>
    </row>
    <row r="12" spans="2:6" ht="43.5">
      <c r="B12" s="110">
        <v>10</v>
      </c>
      <c r="C12" s="110" t="s">
        <v>434</v>
      </c>
      <c r="D12" s="111" t="s">
        <v>450</v>
      </c>
      <c r="E12" s="114" t="s">
        <v>451</v>
      </c>
      <c r="F12" s="113" t="s">
        <v>433</v>
      </c>
    </row>
    <row r="13" spans="2:6" ht="29.1">
      <c r="B13" s="110">
        <v>11</v>
      </c>
      <c r="C13" s="110" t="s">
        <v>434</v>
      </c>
      <c r="D13" s="111" t="s">
        <v>452</v>
      </c>
      <c r="E13" s="114" t="s">
        <v>432</v>
      </c>
      <c r="F13" s="113" t="s">
        <v>433</v>
      </c>
    </row>
    <row r="14" spans="2:6" ht="29.1">
      <c r="B14" s="110">
        <v>12</v>
      </c>
      <c r="C14" s="110" t="s">
        <v>434</v>
      </c>
      <c r="D14" s="111" t="s">
        <v>453</v>
      </c>
      <c r="E14" s="114"/>
      <c r="F14" s="113" t="s">
        <v>433</v>
      </c>
    </row>
    <row r="15" spans="2:6" ht="43.5">
      <c r="B15" s="110">
        <v>13</v>
      </c>
      <c r="C15" s="110" t="s">
        <v>434</v>
      </c>
      <c r="D15" s="111" t="s">
        <v>454</v>
      </c>
      <c r="E15" s="114" t="s">
        <v>455</v>
      </c>
      <c r="F15" s="113" t="s">
        <v>433</v>
      </c>
    </row>
    <row r="16" spans="2:6" ht="77.45" customHeight="1">
      <c r="B16" s="110">
        <v>14</v>
      </c>
      <c r="C16" s="110" t="s">
        <v>434</v>
      </c>
      <c r="D16" s="111" t="s">
        <v>456</v>
      </c>
      <c r="E16" s="114" t="s">
        <v>457</v>
      </c>
      <c r="F16" s="113" t="s">
        <v>433</v>
      </c>
    </row>
    <row r="17" spans="2:6" ht="29.1">
      <c r="B17" s="110">
        <v>15</v>
      </c>
      <c r="C17" s="110" t="s">
        <v>434</v>
      </c>
      <c r="D17" s="111" t="s">
        <v>458</v>
      </c>
      <c r="E17" s="114" t="s">
        <v>459</v>
      </c>
      <c r="F17" s="113" t="s">
        <v>433</v>
      </c>
    </row>
  </sheetData>
  <conditionalFormatting sqref="F3:F17">
    <cfRule type="cellIs" dxfId="2" priority="1" operator="equal">
      <formula>"Suspended"</formula>
    </cfRule>
    <cfRule type="cellIs" dxfId="1" priority="2" operator="equal">
      <formula>"Open"</formula>
    </cfRule>
    <cfRule type="cellIs" dxfId="0" priority="3" operator="equal">
      <formula>"Closed"</formula>
    </cfRule>
  </conditionalFormatting>
  <dataValidations count="1">
    <dataValidation type="list" allowBlank="1" showInputMessage="1" showErrorMessage="1" sqref="F3:F17" xr:uid="{DECE52D2-4970-46AE-8C3F-5C42503C4BD8}">
      <formula1>"Open, Closed,"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7FD3-668E-48B1-A7D3-0ED4FC912915}">
  <sheetPr>
    <tabColor rgb="FF366340"/>
  </sheetPr>
  <dimension ref="B2:H41"/>
  <sheetViews>
    <sheetView topLeftCell="A25" zoomScale="60" zoomScaleNormal="60" workbookViewId="0">
      <selection activeCell="B33" sqref="B33"/>
    </sheetView>
  </sheetViews>
  <sheetFormatPr defaultColWidth="8.75" defaultRowHeight="24"/>
  <cols>
    <col min="1" max="1" width="8" style="47" customWidth="1"/>
    <col min="2" max="2" width="57.875" style="47" customWidth="1"/>
    <col min="3" max="3" width="32.5" style="47" customWidth="1"/>
    <col min="4" max="4" width="27.125" style="47" customWidth="1"/>
    <col min="5" max="5" width="38.75" style="47" customWidth="1"/>
    <col min="6" max="7" width="8.75" style="47" customWidth="1"/>
    <col min="8" max="8" width="62.875" style="47" customWidth="1"/>
    <col min="9" max="11" width="8.75" style="47"/>
    <col min="12" max="12" width="8.75" style="47" customWidth="1"/>
    <col min="13" max="16384" width="8.75" style="47"/>
  </cols>
  <sheetData>
    <row r="2" spans="2:6" ht="26.45">
      <c r="B2" s="244" t="s">
        <v>18</v>
      </c>
      <c r="C2" s="244"/>
      <c r="D2" s="244"/>
      <c r="E2" s="244"/>
    </row>
    <row r="3" spans="2:6" ht="163.5" customHeight="1">
      <c r="B3" s="245" t="s">
        <v>19</v>
      </c>
      <c r="C3" s="245"/>
      <c r="D3" s="245"/>
      <c r="E3" s="245"/>
    </row>
    <row r="4" spans="2:6">
      <c r="B4" s="48"/>
      <c r="C4" s="48"/>
      <c r="D4" s="48"/>
      <c r="E4" s="48"/>
      <c r="F4" s="49"/>
    </row>
    <row r="6" spans="2:6" ht="26.45">
      <c r="B6" s="244" t="s">
        <v>20</v>
      </c>
      <c r="C6" s="244"/>
      <c r="D6" s="244"/>
      <c r="E6" s="244"/>
    </row>
    <row r="7" spans="2:6">
      <c r="B7" s="246" t="s">
        <v>21</v>
      </c>
      <c r="C7" s="246"/>
      <c r="D7" s="246"/>
      <c r="E7" s="246"/>
    </row>
    <row r="8" spans="2:6" ht="48.75" customHeight="1">
      <c r="B8" s="245" t="s">
        <v>22</v>
      </c>
      <c r="C8" s="245"/>
      <c r="D8" s="245"/>
      <c r="E8" s="245"/>
    </row>
    <row r="9" spans="2:6">
      <c r="B9" s="246" t="s">
        <v>23</v>
      </c>
      <c r="C9" s="246"/>
      <c r="D9" s="246"/>
      <c r="E9" s="246"/>
    </row>
    <row r="10" spans="2:6" ht="45.75" customHeight="1">
      <c r="B10" s="245" t="s">
        <v>24</v>
      </c>
      <c r="C10" s="245"/>
      <c r="D10" s="245"/>
      <c r="E10" s="245"/>
    </row>
    <row r="11" spans="2:6" ht="24.75" customHeight="1">
      <c r="B11" s="246" t="s">
        <v>25</v>
      </c>
      <c r="C11" s="246"/>
      <c r="D11" s="246"/>
      <c r="E11" s="246"/>
    </row>
    <row r="12" spans="2:6" ht="33.6" customHeight="1">
      <c r="B12" s="245" t="s">
        <v>26</v>
      </c>
      <c r="C12" s="245"/>
      <c r="D12" s="245"/>
      <c r="E12" s="245"/>
    </row>
    <row r="13" spans="2:6">
      <c r="B13" s="48"/>
      <c r="C13" s="48"/>
      <c r="D13" s="48"/>
      <c r="E13" s="48"/>
      <c r="F13" s="49"/>
    </row>
    <row r="14" spans="2:6" ht="26.45">
      <c r="B14" s="244" t="s">
        <v>27</v>
      </c>
      <c r="C14" s="244"/>
      <c r="D14" s="244"/>
      <c r="E14" s="244"/>
    </row>
    <row r="15" spans="2:6">
      <c r="B15" s="1"/>
    </row>
    <row r="16" spans="2:6">
      <c r="B16" s="246" t="s">
        <v>28</v>
      </c>
      <c r="C16" s="246"/>
      <c r="D16" s="246"/>
      <c r="E16" s="246"/>
    </row>
    <row r="17" spans="2:8" ht="48" customHeight="1">
      <c r="B17" s="60" t="s">
        <v>29</v>
      </c>
      <c r="C17" s="118" t="s">
        <v>30</v>
      </c>
      <c r="D17" s="52" t="s">
        <v>31</v>
      </c>
      <c r="H17" s="230"/>
    </row>
    <row r="18" spans="2:8" ht="35.450000000000003" customHeight="1">
      <c r="B18" s="60" t="s">
        <v>32</v>
      </c>
      <c r="C18" s="118" t="s">
        <v>33</v>
      </c>
      <c r="D18" s="52"/>
    </row>
    <row r="19" spans="2:8" ht="50.45" customHeight="1">
      <c r="B19" s="60" t="s">
        <v>34</v>
      </c>
      <c r="C19" s="118" t="s">
        <v>35</v>
      </c>
      <c r="D19" s="52"/>
    </row>
    <row r="20" spans="2:8" ht="24" customHeight="1">
      <c r="B20" s="3"/>
      <c r="C20" s="98"/>
      <c r="D20" s="52"/>
    </row>
    <row r="21" spans="2:8" ht="24" customHeight="1">
      <c r="B21" s="99" t="s">
        <v>36</v>
      </c>
      <c r="C21" s="98"/>
      <c r="D21" s="52"/>
    </row>
    <row r="22" spans="2:8">
      <c r="B22" s="60" t="s">
        <v>37</v>
      </c>
      <c r="C22" s="40">
        <f>Backend!D6</f>
        <v>3.3266666666666667</v>
      </c>
    </row>
    <row r="23" spans="2:8">
      <c r="B23" s="83"/>
      <c r="C23" s="83"/>
    </row>
    <row r="24" spans="2:8" ht="26.45">
      <c r="B24" s="244" t="s">
        <v>38</v>
      </c>
      <c r="C24" s="244"/>
      <c r="D24" s="244"/>
      <c r="E24" s="244"/>
    </row>
    <row r="25" spans="2:8">
      <c r="B25" s="51" t="s">
        <v>39</v>
      </c>
      <c r="C25" s="53" t="s">
        <v>40</v>
      </c>
      <c r="D25" s="53" t="s">
        <v>41</v>
      </c>
      <c r="E25" s="53"/>
    </row>
    <row r="26" spans="2:8">
      <c r="B26" s="59" t="s">
        <v>42</v>
      </c>
      <c r="C26" s="208">
        <f>'Reference Data'!D18</f>
        <v>2528.2666666666669</v>
      </c>
      <c r="D26" s="50"/>
      <c r="E26" s="53"/>
    </row>
    <row r="27" spans="2:8">
      <c r="B27" s="59" t="s">
        <v>43</v>
      </c>
      <c r="C27" s="208">
        <f>'Reference Data'!D19</f>
        <v>108</v>
      </c>
      <c r="D27" s="50"/>
      <c r="E27" s="53"/>
    </row>
    <row r="28" spans="2:8">
      <c r="B28" s="59" t="s">
        <v>44</v>
      </c>
      <c r="C28" s="208">
        <f>'Reference Data'!D16</f>
        <v>1738</v>
      </c>
      <c r="D28" s="81"/>
      <c r="E28" s="58"/>
      <c r="H28" s="230"/>
    </row>
    <row r="29" spans="2:8">
      <c r="B29" s="48"/>
      <c r="C29" s="48"/>
      <c r="D29" s="48"/>
      <c r="E29" s="48"/>
    </row>
    <row r="30" spans="2:8">
      <c r="G30" s="243"/>
    </row>
    <row r="31" spans="2:8" ht="26.45">
      <c r="B31" s="244" t="s">
        <v>45</v>
      </c>
      <c r="C31" s="244"/>
      <c r="D31" s="244"/>
      <c r="E31" s="244"/>
      <c r="G31" s="243"/>
    </row>
    <row r="32" spans="2:8">
      <c r="B32" s="46"/>
      <c r="G32" s="230"/>
    </row>
    <row r="33" spans="2:7">
      <c r="B33" s="3" t="s">
        <v>46</v>
      </c>
      <c r="C33" s="231">
        <f>(((Backend!M10-(Backend!M19+Backend!M28))/Backend!M10)*100)</f>
        <v>64.971788999342422</v>
      </c>
      <c r="D33" s="3" t="s">
        <v>47</v>
      </c>
      <c r="E33" s="230"/>
    </row>
    <row r="34" spans="2:7">
      <c r="B34" s="3" t="s">
        <v>48</v>
      </c>
      <c r="C34" s="82">
        <f>Backend!M34</f>
        <v>-484.00473733331921</v>
      </c>
      <c r="D34" s="3" t="s">
        <v>49</v>
      </c>
    </row>
    <row r="35" spans="2:7">
      <c r="B35" s="3" t="s">
        <v>50</v>
      </c>
      <c r="C35" s="82">
        <f>Backend!M39</f>
        <v>-1594.8860556450145</v>
      </c>
      <c r="D35" s="3" t="s">
        <v>51</v>
      </c>
      <c r="G35" s="46"/>
    </row>
    <row r="36" spans="2:7" s="57" customFormat="1">
      <c r="B36" s="3" t="s">
        <v>50</v>
      </c>
      <c r="C36" s="82">
        <f>Backend!M40</f>
        <v>-1.5948860556450144</v>
      </c>
      <c r="D36" s="3" t="s">
        <v>52</v>
      </c>
    </row>
    <row r="37" spans="2:7">
      <c r="B37" s="48"/>
      <c r="C37" s="48"/>
      <c r="D37" s="48"/>
      <c r="E37" s="48"/>
    </row>
    <row r="39" spans="2:7" ht="26.45">
      <c r="B39" s="244" t="s">
        <v>53</v>
      </c>
      <c r="C39" s="244"/>
      <c r="D39" s="244"/>
      <c r="E39" s="244"/>
    </row>
    <row r="40" spans="2:7">
      <c r="B40" s="37" t="s">
        <v>54</v>
      </c>
      <c r="C40" s="14">
        <f>'Uncertainty Analysis'!Q29</f>
        <v>-1.0498729300262941</v>
      </c>
      <c r="D40" s="3" t="s">
        <v>55</v>
      </c>
    </row>
    <row r="41" spans="2:7">
      <c r="B41" s="37" t="s">
        <v>56</v>
      </c>
      <c r="C41" s="14">
        <f>'Uncertainty Analysis'!P29</f>
        <v>-2.5164920093607286</v>
      </c>
      <c r="D41" s="3" t="s">
        <v>55</v>
      </c>
    </row>
  </sheetData>
  <sheetProtection sort="0" pivotTables="0"/>
  <mergeCells count="14">
    <mergeCell ref="B31:E31"/>
    <mergeCell ref="B39:E39"/>
    <mergeCell ref="B3:E3"/>
    <mergeCell ref="B2:E2"/>
    <mergeCell ref="B14:E14"/>
    <mergeCell ref="B16:E16"/>
    <mergeCell ref="B6:E6"/>
    <mergeCell ref="B8:E8"/>
    <mergeCell ref="B7:E7"/>
    <mergeCell ref="B9:E9"/>
    <mergeCell ref="B10:E10"/>
    <mergeCell ref="B11:E11"/>
    <mergeCell ref="B12:E12"/>
    <mergeCell ref="B24:E24"/>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80F1-A67B-4DBB-B84C-7AFFAF9380B8}">
  <sheetPr>
    <tabColor rgb="FF046C8B"/>
  </sheetPr>
  <dimension ref="B2:Q77"/>
  <sheetViews>
    <sheetView topLeftCell="H22" zoomScale="90" zoomScaleNormal="90" workbookViewId="0">
      <selection activeCell="M19" sqref="M19"/>
    </sheetView>
  </sheetViews>
  <sheetFormatPr defaultColWidth="8.75" defaultRowHeight="19.5"/>
  <cols>
    <col min="1" max="1" width="4.125" style="3" customWidth="1"/>
    <col min="2" max="2" width="60" style="3" customWidth="1"/>
    <col min="3" max="3" width="67.125" style="3" customWidth="1"/>
    <col min="4" max="4" width="32.625" style="3" customWidth="1"/>
    <col min="5" max="5" width="15.75" style="3" customWidth="1"/>
    <col min="6" max="6" width="21.875" style="3" customWidth="1"/>
    <col min="7" max="7" width="13.25" style="3" customWidth="1"/>
    <col min="8" max="8" width="4.25" style="3" customWidth="1"/>
    <col min="9" max="9" width="4.25" style="28" customWidth="1"/>
    <col min="10" max="10" width="76.375" style="3" customWidth="1"/>
    <col min="11" max="11" width="130.125" style="3" customWidth="1"/>
    <col min="12" max="12" width="15.25" style="3" customWidth="1"/>
    <col min="13" max="13" width="16.75" style="3" customWidth="1"/>
    <col min="14" max="14" width="11.75" style="3" bestFit="1" customWidth="1"/>
    <col min="15" max="15" width="19.375" style="3" customWidth="1"/>
    <col min="16" max="16" width="11.625" style="3" bestFit="1" customWidth="1"/>
    <col min="17" max="17" width="14.5" style="3" bestFit="1" customWidth="1"/>
    <col min="18" max="16384" width="8.75" style="3"/>
  </cols>
  <sheetData>
    <row r="2" spans="2:15" ht="24.6">
      <c r="B2" s="27" t="s">
        <v>38</v>
      </c>
      <c r="J2" s="27" t="s">
        <v>57</v>
      </c>
    </row>
    <row r="4" spans="2:15">
      <c r="B4" s="29" t="s">
        <v>36</v>
      </c>
      <c r="C4" s="29" t="s">
        <v>58</v>
      </c>
      <c r="D4" s="29" t="s">
        <v>59</v>
      </c>
      <c r="J4" s="2" t="s">
        <v>60</v>
      </c>
    </row>
    <row r="5" spans="2:15" ht="39">
      <c r="B5" s="30" t="str">
        <f>Calculator!B17</f>
        <v>Crop Type</v>
      </c>
      <c r="C5" s="30"/>
      <c r="D5" s="100" t="s">
        <v>30</v>
      </c>
      <c r="J5" s="29" t="s">
        <v>61</v>
      </c>
      <c r="K5" s="29" t="s">
        <v>62</v>
      </c>
      <c r="L5" s="29" t="s">
        <v>59</v>
      </c>
      <c r="M5" s="29" t="s">
        <v>63</v>
      </c>
    </row>
    <row r="6" spans="2:15">
      <c r="B6" s="30" t="s">
        <v>37</v>
      </c>
      <c r="C6" s="30"/>
      <c r="D6" s="31">
        <f>'Reference Data'!D7</f>
        <v>3.3266666666666667</v>
      </c>
      <c r="J6" s="30" t="s">
        <v>64</v>
      </c>
      <c r="K6" s="30" t="s">
        <v>65</v>
      </c>
      <c r="L6" s="72" t="s">
        <v>51</v>
      </c>
      <c r="M6" s="70">
        <f>E17*$E$45</f>
        <v>1375.521808767525</v>
      </c>
    </row>
    <row r="7" spans="2:15">
      <c r="J7" s="30" t="s">
        <v>66</v>
      </c>
      <c r="K7" s="30" t="s">
        <v>67</v>
      </c>
      <c r="L7" s="72" t="s">
        <v>51</v>
      </c>
      <c r="M7" s="70">
        <f>E18*$E$44</f>
        <v>0.51443939266666672</v>
      </c>
    </row>
    <row r="8" spans="2:15">
      <c r="B8" s="29" t="s">
        <v>68</v>
      </c>
      <c r="C8" s="29" t="s">
        <v>58</v>
      </c>
      <c r="D8" s="29" t="s">
        <v>59</v>
      </c>
      <c r="E8" s="29" t="s">
        <v>69</v>
      </c>
      <c r="J8" s="30" t="s">
        <v>70</v>
      </c>
      <c r="K8" s="30" t="s">
        <v>71</v>
      </c>
      <c r="L8" s="72" t="s">
        <v>51</v>
      </c>
      <c r="M8" s="42">
        <f>E19*E46</f>
        <v>1078.7</v>
      </c>
    </row>
    <row r="9" spans="2:15">
      <c r="B9" s="30" t="s">
        <v>72</v>
      </c>
      <c r="C9" s="30"/>
      <c r="D9" s="13" t="s">
        <v>73</v>
      </c>
      <c r="E9" s="70">
        <f>'Reference Data'!D11</f>
        <v>10666.666666666666</v>
      </c>
      <c r="J9" s="30" t="s">
        <v>74</v>
      </c>
      <c r="K9" s="30" t="s">
        <v>75</v>
      </c>
      <c r="L9" s="72" t="s">
        <v>51</v>
      </c>
      <c r="M9" s="70">
        <f>SUM(M6:M8)</f>
        <v>2454.7362481601917</v>
      </c>
      <c r="O9" s="209"/>
    </row>
    <row r="10" spans="2:15">
      <c r="B10" s="30" t="s">
        <v>64</v>
      </c>
      <c r="C10" s="30"/>
      <c r="D10" s="92" t="s">
        <v>76</v>
      </c>
      <c r="E10" s="70">
        <f>'Reference Data'!D9</f>
        <v>522</v>
      </c>
      <c r="J10" s="30" t="s">
        <v>77</v>
      </c>
      <c r="K10" s="30" t="s">
        <v>78</v>
      </c>
      <c r="L10" s="30" t="s">
        <v>49</v>
      </c>
      <c r="M10" s="70">
        <f>M9/D6</f>
        <v>737.89666778362482</v>
      </c>
    </row>
    <row r="11" spans="2:15">
      <c r="B11" s="30" t="s">
        <v>79</v>
      </c>
      <c r="C11" s="30"/>
      <c r="D11" s="92" t="s">
        <v>80</v>
      </c>
      <c r="E11" s="70">
        <f>'Reference Data'!D8</f>
        <v>1010</v>
      </c>
    </row>
    <row r="12" spans="2:15">
      <c r="B12" s="30" t="s">
        <v>70</v>
      </c>
      <c r="C12" s="30"/>
      <c r="D12" s="92" t="s">
        <v>81</v>
      </c>
      <c r="E12" s="70">
        <f>'Reference Data'!D10</f>
        <v>3350</v>
      </c>
    </row>
    <row r="13" spans="2:15">
      <c r="J13" s="2" t="s">
        <v>82</v>
      </c>
    </row>
    <row r="14" spans="2:15">
      <c r="J14" s="29" t="s">
        <v>61</v>
      </c>
      <c r="K14" s="29" t="s">
        <v>62</v>
      </c>
      <c r="L14" s="29" t="s">
        <v>59</v>
      </c>
      <c r="M14" s="29" t="s">
        <v>63</v>
      </c>
    </row>
    <row r="15" spans="2:15">
      <c r="B15" s="29" t="s">
        <v>83</v>
      </c>
      <c r="C15" s="29" t="s">
        <v>58</v>
      </c>
      <c r="D15" s="29" t="s">
        <v>59</v>
      </c>
      <c r="E15" s="29" t="s">
        <v>84</v>
      </c>
      <c r="F15" s="29" t="s">
        <v>85</v>
      </c>
      <c r="G15" s="29" t="s">
        <v>86</v>
      </c>
      <c r="J15" s="30" t="s">
        <v>64</v>
      </c>
      <c r="K15" s="30" t="s">
        <v>65</v>
      </c>
      <c r="L15" s="72" t="s">
        <v>51</v>
      </c>
      <c r="M15" s="70">
        <f>F17*$E$45</f>
        <v>284.59071905535001</v>
      </c>
    </row>
    <row r="16" spans="2:15">
      <c r="B16" s="30" t="s">
        <v>87</v>
      </c>
      <c r="C16" s="30"/>
      <c r="D16" s="13" t="s">
        <v>88</v>
      </c>
      <c r="E16" s="119">
        <f>E9</f>
        <v>10666.666666666666</v>
      </c>
      <c r="F16" s="70">
        <f>'Reference Data'!D17</f>
        <v>3333.3333333333335</v>
      </c>
      <c r="G16" s="70">
        <f>F16-E16</f>
        <v>-7333.3333333333321</v>
      </c>
      <c r="J16" s="30" t="s">
        <v>66</v>
      </c>
      <c r="K16" s="30" t="s">
        <v>67</v>
      </c>
      <c r="L16" s="72" t="s">
        <v>51</v>
      </c>
      <c r="M16" s="70">
        <f>F18*$E$44</f>
        <v>0.38710290933333336</v>
      </c>
    </row>
    <row r="17" spans="2:15">
      <c r="B17" s="30" t="s">
        <v>64</v>
      </c>
      <c r="C17" s="30"/>
      <c r="D17" s="92" t="s">
        <v>76</v>
      </c>
      <c r="E17" s="70">
        <f>E10</f>
        <v>522</v>
      </c>
      <c r="F17" s="70">
        <f>'Reference Data'!D19</f>
        <v>108</v>
      </c>
      <c r="G17" s="70">
        <f>F17-E17</f>
        <v>-414</v>
      </c>
      <c r="H17" s="95"/>
      <c r="I17" s="3"/>
      <c r="J17" s="30" t="s">
        <v>70</v>
      </c>
      <c r="K17" s="30" t="s">
        <v>71</v>
      </c>
      <c r="L17" s="72" t="s">
        <v>51</v>
      </c>
      <c r="M17" s="70">
        <f>F19*$E$46</f>
        <v>559.63599999999997</v>
      </c>
    </row>
    <row r="18" spans="2:15">
      <c r="B18" s="30" t="s">
        <v>79</v>
      </c>
      <c r="C18" s="30"/>
      <c r="D18" s="92" t="s">
        <v>89</v>
      </c>
      <c r="E18" s="70">
        <f>E11*$D$6</f>
        <v>3359.9333333333334</v>
      </c>
      <c r="F18" s="70">
        <f>'Reference Data'!D18</f>
        <v>2528.2666666666669</v>
      </c>
      <c r="G18" s="70">
        <f>F18-E18</f>
        <v>-831.66666666666652</v>
      </c>
      <c r="H18" s="95"/>
      <c r="I18" s="3"/>
      <c r="J18" s="30" t="s">
        <v>90</v>
      </c>
      <c r="K18" s="30" t="s">
        <v>75</v>
      </c>
      <c r="L18" s="72" t="s">
        <v>51</v>
      </c>
      <c r="M18" s="70">
        <f>SUM(M15:M17)</f>
        <v>844.61382196468332</v>
      </c>
      <c r="O18" s="209"/>
    </row>
    <row r="19" spans="2:15">
      <c r="B19" s="30" t="s">
        <v>70</v>
      </c>
      <c r="C19" s="30"/>
      <c r="D19" s="92" t="s">
        <v>81</v>
      </c>
      <c r="E19" s="70">
        <f>E12</f>
        <v>3350</v>
      </c>
      <c r="F19" s="70">
        <f>'Reference Data'!D16</f>
        <v>1738</v>
      </c>
      <c r="G19" s="70">
        <f>F19-E19</f>
        <v>-1612</v>
      </c>
      <c r="H19" s="95"/>
      <c r="J19" s="30" t="s">
        <v>77</v>
      </c>
      <c r="K19" s="30" t="s">
        <v>91</v>
      </c>
      <c r="L19" s="30" t="s">
        <v>49</v>
      </c>
      <c r="M19" s="70">
        <f>M18/D6</f>
        <v>253.89193045030561</v>
      </c>
    </row>
    <row r="20" spans="2:15">
      <c r="B20" s="30" t="s">
        <v>92</v>
      </c>
      <c r="C20" s="30"/>
      <c r="D20" s="92" t="s">
        <v>73</v>
      </c>
      <c r="E20" s="70">
        <f>E16*D6</f>
        <v>35484.444444444445</v>
      </c>
      <c r="F20" s="70">
        <f>F16*D6</f>
        <v>11088.888888888889</v>
      </c>
      <c r="G20" s="70">
        <f>F20-E20</f>
        <v>-24395.555555555555</v>
      </c>
      <c r="H20" s="95"/>
    </row>
    <row r="21" spans="2:15">
      <c r="H21" s="95"/>
      <c r="O21" s="209"/>
    </row>
    <row r="22" spans="2:15">
      <c r="B22" s="29" t="s">
        <v>93</v>
      </c>
      <c r="C22" s="29" t="s">
        <v>58</v>
      </c>
      <c r="D22" s="29" t="s">
        <v>63</v>
      </c>
      <c r="E22" s="29" t="s">
        <v>94</v>
      </c>
      <c r="H22" s="95"/>
      <c r="J22" s="2" t="s">
        <v>95</v>
      </c>
    </row>
    <row r="23" spans="2:15">
      <c r="B23" s="30" t="s">
        <v>96</v>
      </c>
      <c r="C23" s="30" t="s">
        <v>97</v>
      </c>
      <c r="D23" s="42">
        <f>FirstOrderEffects!G15*FirstOrderEffects!C7</f>
        <v>13.28</v>
      </c>
      <c r="E23" s="30" t="s">
        <v>73</v>
      </c>
      <c r="H23" s="95"/>
      <c r="I23" s="3"/>
      <c r="J23" s="29" t="s">
        <v>61</v>
      </c>
      <c r="K23" s="29" t="s">
        <v>62</v>
      </c>
      <c r="L23" s="29" t="s">
        <v>59</v>
      </c>
      <c r="M23" s="29" t="s">
        <v>63</v>
      </c>
      <c r="O23" s="209"/>
    </row>
    <row r="24" spans="2:15">
      <c r="B24" s="30" t="s">
        <v>98</v>
      </c>
      <c r="C24" s="30" t="s">
        <v>97</v>
      </c>
      <c r="D24" s="42">
        <f>FirstOrderEffects!G26*FirstOrderEffects!C18</f>
        <v>6.64</v>
      </c>
      <c r="E24" s="30" t="s">
        <v>73</v>
      </c>
      <c r="H24" s="95"/>
      <c r="I24" s="3"/>
      <c r="J24" s="30" t="s">
        <v>99</v>
      </c>
      <c r="K24" s="30" t="s">
        <v>100</v>
      </c>
      <c r="L24" s="80" t="s">
        <v>51</v>
      </c>
      <c r="M24" s="42">
        <f>(D26/D29)*C35</f>
        <v>6.2610146802720008</v>
      </c>
    </row>
    <row r="25" spans="2:15">
      <c r="B25" s="30" t="s">
        <v>101</v>
      </c>
      <c r="C25" s="30" t="s">
        <v>97</v>
      </c>
      <c r="D25" s="42">
        <f>FirstOrderEffects!G40*FirstOrderEffects!C29</f>
        <v>12.139999999999997</v>
      </c>
      <c r="E25" s="30" t="s">
        <v>73</v>
      </c>
      <c r="H25" s="95"/>
      <c r="I25" s="3"/>
      <c r="J25" s="217" t="s">
        <v>102</v>
      </c>
      <c r="K25" s="217" t="s">
        <v>103</v>
      </c>
      <c r="L25" s="232" t="s">
        <v>51</v>
      </c>
      <c r="M25" s="233">
        <f>(D27/D29)*C36</f>
        <v>3.1305073401360004</v>
      </c>
    </row>
    <row r="26" spans="2:15">
      <c r="B26" s="30" t="str">
        <f>FirstOrderEffects!B7</f>
        <v>IoT MicroClimate sensor station (SOIL-LEAF)</v>
      </c>
      <c r="C26" s="30" t="s">
        <v>104</v>
      </c>
      <c r="D26" s="70">
        <f>FirstOrderEffects!I15</f>
        <v>31.305073401360005</v>
      </c>
      <c r="E26" s="30" t="s">
        <v>51</v>
      </c>
      <c r="H26" s="95"/>
      <c r="I26" s="96"/>
      <c r="J26" s="84" t="s">
        <v>105</v>
      </c>
      <c r="K26" s="96" t="s">
        <v>106</v>
      </c>
      <c r="L26" s="175" t="s">
        <v>51</v>
      </c>
      <c r="M26" s="233">
        <f>(D28/D29)*C37</f>
        <v>5.8448485300859998</v>
      </c>
    </row>
    <row r="27" spans="2:15">
      <c r="B27" s="30" t="str">
        <f>FirstOrderEffects!B18</f>
        <v>IoT MicroClimate sensor station (SOIL-PH)</v>
      </c>
      <c r="C27" s="30" t="s">
        <v>104</v>
      </c>
      <c r="D27" s="70">
        <f>FirstOrderEffects!I26</f>
        <v>31.305073401360005</v>
      </c>
      <c r="E27" s="30" t="s">
        <v>51</v>
      </c>
      <c r="H27" s="95"/>
      <c r="I27" s="96"/>
      <c r="J27" s="30" t="s">
        <v>107</v>
      </c>
      <c r="K27" s="30" t="s">
        <v>108</v>
      </c>
      <c r="L27" s="72" t="s">
        <v>51</v>
      </c>
      <c r="M27" s="42">
        <f>SUM(M24:M26)</f>
        <v>15.236370550494001</v>
      </c>
    </row>
    <row r="28" spans="2:15">
      <c r="B28" s="30" t="str">
        <f>FirstOrderEffects!B29</f>
        <v>IoT WeatherStation sensor station (AIR – WIND – RAIN – SOLAR)</v>
      </c>
      <c r="C28" s="30" t="s">
        <v>104</v>
      </c>
      <c r="D28" s="70">
        <f>FirstOrderEffects!I40</f>
        <v>58.44848530086</v>
      </c>
      <c r="E28" s="30" t="s">
        <v>51</v>
      </c>
      <c r="J28" s="30" t="s">
        <v>109</v>
      </c>
      <c r="K28" s="30" t="s">
        <v>110</v>
      </c>
      <c r="L28" s="30" t="s">
        <v>49</v>
      </c>
      <c r="M28" s="42">
        <f>M27/D6</f>
        <v>4.5800713077637276</v>
      </c>
    </row>
    <row r="29" spans="2:15">
      <c r="B29" s="30" t="s">
        <v>111</v>
      </c>
      <c r="C29" s="30"/>
      <c r="D29" s="30">
        <f>FirstOrderEffects!D45</f>
        <v>10</v>
      </c>
      <c r="E29" s="30" t="s">
        <v>112</v>
      </c>
    </row>
    <row r="31" spans="2:15">
      <c r="B31" s="29" t="s">
        <v>93</v>
      </c>
      <c r="C31" s="178" t="s">
        <v>113</v>
      </c>
      <c r="D31" s="178" t="s">
        <v>114</v>
      </c>
      <c r="J31" s="66" t="s">
        <v>115</v>
      </c>
    </row>
    <row r="32" spans="2:15">
      <c r="B32" s="212" t="s">
        <v>116</v>
      </c>
      <c r="C32" s="13">
        <v>8</v>
      </c>
      <c r="D32" s="13">
        <v>10</v>
      </c>
      <c r="J32" s="67" t="s">
        <v>61</v>
      </c>
      <c r="K32" s="67" t="s">
        <v>62</v>
      </c>
      <c r="L32" s="67" t="s">
        <v>59</v>
      </c>
      <c r="M32" s="67" t="s">
        <v>63</v>
      </c>
    </row>
    <row r="33" spans="2:17">
      <c r="J33" s="68" t="s">
        <v>117</v>
      </c>
      <c r="K33" s="71" t="s">
        <v>118</v>
      </c>
      <c r="L33" s="72" t="s">
        <v>51</v>
      </c>
      <c r="M33" s="199">
        <f>M18-M9</f>
        <v>-1610.1224261955085</v>
      </c>
      <c r="O33" s="240"/>
    </row>
    <row r="34" spans="2:17">
      <c r="B34" s="64" t="s">
        <v>93</v>
      </c>
      <c r="C34" s="64" t="s">
        <v>119</v>
      </c>
      <c r="J34" s="68" t="s">
        <v>120</v>
      </c>
      <c r="K34" s="71" t="s">
        <v>118</v>
      </c>
      <c r="L34" s="72" t="s">
        <v>49</v>
      </c>
      <c r="M34" s="199">
        <f>M19-M10</f>
        <v>-484.00473733331921</v>
      </c>
    </row>
    <row r="35" spans="2:17">
      <c r="B35" s="30" t="s">
        <v>96</v>
      </c>
      <c r="C35" s="30">
        <f>FirstOrderEffects!C7</f>
        <v>2</v>
      </c>
      <c r="O35" s="242"/>
    </row>
    <row r="36" spans="2:17">
      <c r="B36" s="30" t="s">
        <v>98</v>
      </c>
      <c r="C36" s="30">
        <f>FirstOrderEffects!C18</f>
        <v>1</v>
      </c>
    </row>
    <row r="37" spans="2:17">
      <c r="B37" s="30" t="s">
        <v>101</v>
      </c>
      <c r="C37" s="30">
        <f>FirstOrderEffects!C29</f>
        <v>1</v>
      </c>
      <c r="J37" s="66" t="s">
        <v>121</v>
      </c>
    </row>
    <row r="38" spans="2:17">
      <c r="J38" s="67" t="s">
        <v>61</v>
      </c>
      <c r="K38" s="67" t="s">
        <v>62</v>
      </c>
      <c r="L38" s="67" t="s">
        <v>59</v>
      </c>
      <c r="M38" s="67" t="s">
        <v>63</v>
      </c>
    </row>
    <row r="39" spans="2:17" ht="22.5" customHeight="1">
      <c r="B39" s="64" t="s">
        <v>122</v>
      </c>
      <c r="C39" s="64" t="s">
        <v>123</v>
      </c>
      <c r="J39" s="68" t="s">
        <v>124</v>
      </c>
      <c r="K39" s="71" t="s">
        <v>125</v>
      </c>
      <c r="L39" s="72" t="s">
        <v>51</v>
      </c>
      <c r="M39" s="199">
        <f>M33+M27</f>
        <v>-1594.8860556450145</v>
      </c>
      <c r="O39" s="240"/>
    </row>
    <row r="40" spans="2:17">
      <c r="B40" s="30" t="s">
        <v>126</v>
      </c>
      <c r="C40" s="42">
        <f>SUM(FirstOrderEffects!G40,FirstOrderEffects!G26,FirstOrderEffects!G15)</f>
        <v>25.419999999999998</v>
      </c>
      <c r="J40" s="68" t="s">
        <v>127</v>
      </c>
      <c r="K40" s="71" t="s">
        <v>128</v>
      </c>
      <c r="L40" s="72" t="s">
        <v>52</v>
      </c>
      <c r="M40" s="199">
        <f>M39/1000</f>
        <v>-1.5948860556450144</v>
      </c>
      <c r="N40" s="209"/>
      <c r="Q40" s="241"/>
    </row>
    <row r="41" spans="2:17">
      <c r="J41" s="68" t="s">
        <v>129</v>
      </c>
      <c r="K41" s="71" t="s">
        <v>130</v>
      </c>
      <c r="L41" s="72" t="s">
        <v>49</v>
      </c>
      <c r="M41" s="199">
        <f>M34+M28</f>
        <v>-479.4246660255555</v>
      </c>
      <c r="O41" s="213"/>
    </row>
    <row r="42" spans="2:17">
      <c r="J42" s="68" t="s">
        <v>129</v>
      </c>
      <c r="K42" s="71" t="s">
        <v>131</v>
      </c>
      <c r="L42" s="72" t="s">
        <v>132</v>
      </c>
      <c r="M42" s="199">
        <f>M41/1000</f>
        <v>-0.4794246660255555</v>
      </c>
    </row>
    <row r="43" spans="2:17">
      <c r="B43" s="29" t="s">
        <v>133</v>
      </c>
      <c r="C43" s="29" t="s">
        <v>58</v>
      </c>
      <c r="D43" s="29" t="s">
        <v>59</v>
      </c>
      <c r="E43" s="29" t="s">
        <v>63</v>
      </c>
    </row>
    <row r="44" spans="2:17">
      <c r="B44" s="30" t="str">
        <f>'Emission Factors'!B10</f>
        <v>Water</v>
      </c>
      <c r="C44" s="30"/>
      <c r="D44" s="30" t="s">
        <v>134</v>
      </c>
      <c r="E44" s="97">
        <f>'Emission Factors'!D10</f>
        <v>1.5311E-4</v>
      </c>
    </row>
    <row r="45" spans="2:17">
      <c r="B45" s="30" t="str">
        <f>'Emission Factors'!B14</f>
        <v>Diesel</v>
      </c>
      <c r="C45" s="30"/>
      <c r="D45" s="30" t="s">
        <v>135</v>
      </c>
      <c r="E45" s="31">
        <f>'Emission Factors'!D14</f>
        <v>2.6350992505124999</v>
      </c>
    </row>
    <row r="46" spans="2:17">
      <c r="B46" s="30" t="str">
        <f>'Emission Factors'!B5</f>
        <v xml:space="preserve">Greece electricity </v>
      </c>
      <c r="C46" s="30"/>
      <c r="D46" s="30" t="s">
        <v>136</v>
      </c>
      <c r="E46" s="31">
        <f>'Emission Factors'!C5</f>
        <v>0.32200000000000001</v>
      </c>
      <c r="F46" s="61"/>
      <c r="G46" s="61"/>
    </row>
    <row r="47" spans="2:17">
      <c r="B47" s="30" t="str">
        <f>'Emission Factors'!B18</f>
        <v>Electrical items - IT</v>
      </c>
      <c r="C47" s="30" t="str">
        <f>'Emission Factors'!C18</f>
        <v>Electrical Items</v>
      </c>
      <c r="D47" s="30" t="s">
        <v>137</v>
      </c>
      <c r="E47" s="31">
        <f>'Emission Factors'!D18</f>
        <v>24.86547556</v>
      </c>
      <c r="F47" s="61"/>
      <c r="G47" s="61"/>
    </row>
    <row r="48" spans="2:17">
      <c r="B48" s="30" t="str">
        <f>'Emission Factors'!B20</f>
        <v>Batteries - Li ion</v>
      </c>
      <c r="C48" s="30" t="str">
        <f>'Emission Factors'!C20</f>
        <v>Electrical Items</v>
      </c>
      <c r="D48" s="30" t="s">
        <v>137</v>
      </c>
      <c r="E48" s="31">
        <f>'Emission Factors'!D20</f>
        <v>6.3079999999999998</v>
      </c>
      <c r="F48" s="61"/>
      <c r="G48" s="61"/>
    </row>
    <row r="49" spans="2:7">
      <c r="B49" s="30" t="str">
        <f>'Emission Factors'!B21</f>
        <v>Plastics: average plastics</v>
      </c>
      <c r="C49" s="30" t="str">
        <f>'Emission Factors'!C21</f>
        <v>Average Plastic</v>
      </c>
      <c r="D49" s="30" t="s">
        <v>137</v>
      </c>
      <c r="E49" s="31">
        <f>'Emission Factors'!D21</f>
        <v>3.17249932</v>
      </c>
      <c r="F49" s="61"/>
      <c r="G49" s="61"/>
    </row>
    <row r="50" spans="2:7">
      <c r="B50" s="30" t="str">
        <f>'Emission Factors'!B22</f>
        <v>Metals</v>
      </c>
      <c r="C50" s="30" t="str">
        <f>'Emission Factors'!C22</f>
        <v>Average Metals</v>
      </c>
      <c r="D50" s="30" t="s">
        <v>137</v>
      </c>
      <c r="E50" s="31">
        <f>'Emission Factors'!D22</f>
        <v>5.1418858700000003</v>
      </c>
      <c r="F50" s="61"/>
      <c r="G50" s="61"/>
    </row>
    <row r="51" spans="2:7">
      <c r="B51" s="30" t="str">
        <f>'Emission Factors'!B26</f>
        <v>End of life</v>
      </c>
      <c r="C51" s="30"/>
      <c r="D51" s="30" t="s">
        <v>137</v>
      </c>
      <c r="E51" s="31">
        <f>'Emission Factors'!G26</f>
        <v>8.1220990000000007E-3</v>
      </c>
      <c r="F51" s="61"/>
      <c r="G51" s="61"/>
    </row>
    <row r="52" spans="2:7">
      <c r="F52" s="61"/>
      <c r="G52" s="61"/>
    </row>
    <row r="53" spans="2:7">
      <c r="G53" s="61"/>
    </row>
    <row r="54" spans="2:7">
      <c r="G54" s="61"/>
    </row>
    <row r="55" spans="2:7">
      <c r="G55" s="61"/>
    </row>
    <row r="56" spans="2:7">
      <c r="G56" s="61"/>
    </row>
    <row r="57" spans="2:7">
      <c r="G57" s="61"/>
    </row>
    <row r="58" spans="2:7">
      <c r="G58" s="61"/>
    </row>
    <row r="59" spans="2:7">
      <c r="G59" s="61"/>
    </row>
    <row r="60" spans="2:7">
      <c r="G60" s="61"/>
    </row>
    <row r="61" spans="2:7">
      <c r="G61" s="61"/>
    </row>
    <row r="62" spans="2:7">
      <c r="G62" s="61"/>
    </row>
    <row r="63" spans="2:7">
      <c r="F63" s="62"/>
      <c r="G63" s="61"/>
    </row>
    <row r="64" spans="2:7">
      <c r="F64" s="62"/>
      <c r="G64" s="61"/>
    </row>
    <row r="65" spans="6:15">
      <c r="F65" s="62"/>
      <c r="G65" s="61"/>
    </row>
    <row r="66" spans="6:15">
      <c r="G66" s="61"/>
    </row>
    <row r="67" spans="6:15">
      <c r="G67" s="61"/>
    </row>
    <row r="68" spans="6:15">
      <c r="G68" s="61"/>
    </row>
    <row r="77" spans="6:15">
      <c r="O77" s="209"/>
    </row>
  </sheetData>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E65-52D7-4E5F-B82F-BA278CC069F4}">
  <sheetPr>
    <tabColor rgb="FFA6D9F7"/>
  </sheetPr>
  <dimension ref="B2:W39"/>
  <sheetViews>
    <sheetView workbookViewId="0">
      <selection activeCell="P29" sqref="P29:Q29"/>
    </sheetView>
  </sheetViews>
  <sheetFormatPr defaultColWidth="8.75" defaultRowHeight="19.5"/>
  <cols>
    <col min="1" max="1" width="3.75" style="3" customWidth="1"/>
    <col min="2" max="2" width="28" style="3" customWidth="1"/>
    <col min="3" max="3" width="28.25" style="3" customWidth="1"/>
    <col min="4" max="4" width="48.375" style="3" customWidth="1"/>
    <col min="5" max="5" width="21.75" style="3" customWidth="1"/>
    <col min="6" max="6" width="20.25" style="3" customWidth="1"/>
    <col min="7" max="7" width="15.75" style="3" customWidth="1"/>
    <col min="8" max="8" width="18.75" style="3" customWidth="1"/>
    <col min="9" max="9" width="14.25" style="3" customWidth="1"/>
    <col min="10" max="10" width="8.75" style="3" customWidth="1"/>
    <col min="11" max="11" width="13.875" style="3" customWidth="1"/>
    <col min="12" max="12" width="17.125" style="3" customWidth="1"/>
    <col min="13" max="13" width="15.75" style="4" customWidth="1"/>
    <col min="14" max="14" width="34.375" style="4" customWidth="1"/>
    <col min="15" max="15" width="11.5" style="4" customWidth="1"/>
    <col min="16" max="16" width="14.875" style="4" customWidth="1"/>
    <col min="17" max="17" width="18.625" style="3" customWidth="1"/>
    <col min="18" max="18" width="11.5" style="3" customWidth="1"/>
    <col min="19" max="19" width="8.75" style="3" customWidth="1"/>
    <col min="20" max="20" width="19.125" style="3" customWidth="1"/>
    <col min="21" max="21" width="10.75" style="3" customWidth="1"/>
    <col min="22" max="22" width="25.625" style="3" customWidth="1"/>
    <col min="23" max="16384" width="8.75" style="3"/>
  </cols>
  <sheetData>
    <row r="2" spans="2:20">
      <c r="B2" s="2" t="s">
        <v>138</v>
      </c>
    </row>
    <row r="3" spans="2:20">
      <c r="B3" s="3" t="s">
        <v>139</v>
      </c>
    </row>
    <row r="4" spans="2:20">
      <c r="B4" s="2"/>
      <c r="K4" s="2"/>
      <c r="M4" s="3"/>
      <c r="N4" s="3"/>
      <c r="O4" s="3"/>
      <c r="P4" s="3"/>
      <c r="T4" s="2"/>
    </row>
    <row r="5" spans="2:20" ht="19.149999999999999" customHeight="1">
      <c r="E5" s="248" t="s">
        <v>140</v>
      </c>
      <c r="F5" s="248"/>
      <c r="G5" s="248"/>
      <c r="H5" s="248"/>
      <c r="I5" s="248"/>
      <c r="J5" s="249" t="s">
        <v>141</v>
      </c>
      <c r="K5" s="249"/>
      <c r="L5" s="249"/>
      <c r="M5" s="249"/>
      <c r="N5" s="249"/>
      <c r="O5" s="250" t="s">
        <v>142</v>
      </c>
      <c r="P5" s="251"/>
      <c r="Q5" s="252"/>
    </row>
    <row r="6" spans="2:20" ht="30" customHeight="1" thickBot="1">
      <c r="B6" s="5" t="s">
        <v>143</v>
      </c>
      <c r="C6" s="6" t="s">
        <v>144</v>
      </c>
      <c r="D6" s="6" t="s">
        <v>145</v>
      </c>
      <c r="E6" s="7" t="s">
        <v>146</v>
      </c>
      <c r="F6" s="8" t="s">
        <v>147</v>
      </c>
      <c r="G6" s="7" t="s">
        <v>32</v>
      </c>
      <c r="H6" s="8" t="s">
        <v>148</v>
      </c>
      <c r="I6" s="8" t="s">
        <v>149</v>
      </c>
      <c r="J6" s="9" t="s">
        <v>146</v>
      </c>
      <c r="K6" s="10" t="s">
        <v>147</v>
      </c>
      <c r="L6" s="9" t="s">
        <v>32</v>
      </c>
      <c r="M6" s="10" t="s">
        <v>148</v>
      </c>
      <c r="N6" s="9" t="s">
        <v>150</v>
      </c>
      <c r="O6" s="10" t="s">
        <v>151</v>
      </c>
      <c r="P6" s="10" t="s">
        <v>152</v>
      </c>
      <c r="Q6" s="10" t="s">
        <v>153</v>
      </c>
    </row>
    <row r="7" spans="2:20" ht="18.600000000000001" customHeight="1" thickBot="1">
      <c r="B7" s="253" t="s">
        <v>154</v>
      </c>
      <c r="C7" s="11" t="s">
        <v>155</v>
      </c>
      <c r="D7" s="12" t="s">
        <v>96</v>
      </c>
      <c r="E7" s="86" t="s">
        <v>156</v>
      </c>
      <c r="F7" s="85" t="s">
        <v>157</v>
      </c>
      <c r="G7" s="86" t="s">
        <v>156</v>
      </c>
      <c r="H7" s="86" t="s">
        <v>156</v>
      </c>
      <c r="I7" s="85" t="s">
        <v>157</v>
      </c>
      <c r="J7" s="13">
        <f t="shared" ref="J7:J18" si="0">INDEX($C$38:$F$38,MATCH(E7,$C$33:$F$33,0))</f>
        <v>1</v>
      </c>
      <c r="K7" s="13">
        <f t="shared" ref="K7:K18" si="1">INDEX($C$36:$F$36,MATCH(F7,$C$33:$F$33,0))</f>
        <v>1.1000000000000001</v>
      </c>
      <c r="L7" s="13">
        <f t="shared" ref="L7:L18" si="2">INDEX($C$37:$F$37,MATCH(G7,$C$33:$F$33,0))</f>
        <v>1</v>
      </c>
      <c r="M7" s="13">
        <f t="shared" ref="M7:M18" si="3">INDEX($C$34:$F$34,MATCH(H7,$C$33:$F$33,0))</f>
        <v>1</v>
      </c>
      <c r="N7" s="14">
        <f>EXP(SQRT((LN(J7)^2)+(LN(K7)^2)+(LN(L7)^2)+(LN(M7)^2)))</f>
        <v>1.1000000000000001</v>
      </c>
      <c r="O7" s="15">
        <f>FirstOrderEffects!C7</f>
        <v>2</v>
      </c>
      <c r="P7" s="82">
        <f>(O7*N7)</f>
        <v>2.2000000000000002</v>
      </c>
      <c r="Q7" s="82">
        <f>(O7/N7)</f>
        <v>1.8181818181818181</v>
      </c>
    </row>
    <row r="8" spans="2:20" ht="20.100000000000001" thickBot="1">
      <c r="B8" s="254"/>
      <c r="C8" s="11" t="s">
        <v>155</v>
      </c>
      <c r="D8" s="12" t="s">
        <v>98</v>
      </c>
      <c r="E8" s="86" t="s">
        <v>156</v>
      </c>
      <c r="F8" s="85" t="s">
        <v>157</v>
      </c>
      <c r="G8" s="86" t="s">
        <v>156</v>
      </c>
      <c r="H8" s="86" t="s">
        <v>156</v>
      </c>
      <c r="I8" s="85" t="s">
        <v>157</v>
      </c>
      <c r="J8" s="13">
        <f t="shared" si="0"/>
        <v>1</v>
      </c>
      <c r="K8" s="13">
        <f t="shared" si="1"/>
        <v>1.1000000000000001</v>
      </c>
      <c r="L8" s="13">
        <f t="shared" si="2"/>
        <v>1</v>
      </c>
      <c r="M8" s="13">
        <f t="shared" si="3"/>
        <v>1</v>
      </c>
      <c r="N8" s="14">
        <f t="shared" ref="N8:N9" si="4">EXP(SQRT((LN(J8)^2)+(LN(K8)^2)+(LN(L8)^2)+(LN(M8)^2)))</f>
        <v>1.1000000000000001</v>
      </c>
      <c r="O8" s="15">
        <f>FirstOrderEffects!C18</f>
        <v>1</v>
      </c>
      <c r="P8" s="82">
        <f t="shared" ref="P8:P18" si="5">(O8*N8)</f>
        <v>1.1000000000000001</v>
      </c>
      <c r="Q8" s="82">
        <f t="shared" ref="Q8:Q18" si="6">(O8/N8)</f>
        <v>0.90909090909090906</v>
      </c>
    </row>
    <row r="9" spans="2:20" ht="20.100000000000001" thickBot="1">
      <c r="B9" s="254"/>
      <c r="C9" s="11" t="s">
        <v>155</v>
      </c>
      <c r="D9" s="12" t="s">
        <v>101</v>
      </c>
      <c r="E9" s="86" t="s">
        <v>156</v>
      </c>
      <c r="F9" s="85" t="s">
        <v>157</v>
      </c>
      <c r="G9" s="86" t="s">
        <v>156</v>
      </c>
      <c r="H9" s="86" t="s">
        <v>156</v>
      </c>
      <c r="I9" s="85" t="s">
        <v>157</v>
      </c>
      <c r="J9" s="13">
        <f t="shared" si="0"/>
        <v>1</v>
      </c>
      <c r="K9" s="13">
        <f t="shared" si="1"/>
        <v>1.1000000000000001</v>
      </c>
      <c r="L9" s="13">
        <f t="shared" si="2"/>
        <v>1</v>
      </c>
      <c r="M9" s="13">
        <f t="shared" si="3"/>
        <v>1</v>
      </c>
      <c r="N9" s="14">
        <f t="shared" si="4"/>
        <v>1.1000000000000001</v>
      </c>
      <c r="O9" s="15">
        <f>FirstOrderEffects!C29</f>
        <v>1</v>
      </c>
      <c r="P9" s="82">
        <f t="shared" si="5"/>
        <v>1.1000000000000001</v>
      </c>
      <c r="Q9" s="82">
        <f t="shared" si="6"/>
        <v>0.90909090909090906</v>
      </c>
    </row>
    <row r="10" spans="2:20" ht="20.100000000000001" thickBot="1">
      <c r="B10" s="254"/>
      <c r="C10" s="11" t="s">
        <v>158</v>
      </c>
      <c r="D10" s="88" t="s">
        <v>159</v>
      </c>
      <c r="E10" s="85" t="s">
        <v>157</v>
      </c>
      <c r="F10" s="85" t="s">
        <v>157</v>
      </c>
      <c r="G10" s="86" t="s">
        <v>156</v>
      </c>
      <c r="H10" s="86" t="s">
        <v>156</v>
      </c>
      <c r="I10" s="85" t="s">
        <v>157</v>
      </c>
      <c r="J10" s="13">
        <f t="shared" si="0"/>
        <v>1.2</v>
      </c>
      <c r="K10" s="13">
        <f t="shared" si="1"/>
        <v>1.1000000000000001</v>
      </c>
      <c r="L10" s="13">
        <f t="shared" si="2"/>
        <v>1</v>
      </c>
      <c r="M10" s="13">
        <f t="shared" si="3"/>
        <v>1</v>
      </c>
      <c r="N10" s="14">
        <f t="shared" ref="N10" si="7">EXP(SQRT((LN(J10)^2)+(LN(K10)^2)+(LN(L10)^2)+(LN(M10)^2)))</f>
        <v>1.2284225230179247</v>
      </c>
      <c r="O10" s="15">
        <f>Backend!G18</f>
        <v>-831.66666666666652</v>
      </c>
      <c r="P10" s="82">
        <f t="shared" si="5"/>
        <v>-1021.6380649765738</v>
      </c>
      <c r="Q10" s="82">
        <f t="shared" si="6"/>
        <v>-677.02004081093457</v>
      </c>
    </row>
    <row r="11" spans="2:20" ht="20.100000000000001" thickBot="1">
      <c r="B11" s="254"/>
      <c r="C11" s="11" t="s">
        <v>158</v>
      </c>
      <c r="D11" s="88" t="s">
        <v>160</v>
      </c>
      <c r="E11" s="85" t="s">
        <v>157</v>
      </c>
      <c r="F11" s="85" t="s">
        <v>157</v>
      </c>
      <c r="G11" s="86" t="s">
        <v>156</v>
      </c>
      <c r="H11" s="86" t="s">
        <v>156</v>
      </c>
      <c r="I11" s="85" t="s">
        <v>157</v>
      </c>
      <c r="J11" s="13">
        <f t="shared" si="0"/>
        <v>1.2</v>
      </c>
      <c r="K11" s="13">
        <f t="shared" si="1"/>
        <v>1.1000000000000001</v>
      </c>
      <c r="L11" s="13">
        <f t="shared" si="2"/>
        <v>1</v>
      </c>
      <c r="M11" s="13">
        <f t="shared" si="3"/>
        <v>1</v>
      </c>
      <c r="N11" s="14">
        <f t="shared" ref="N11:N12" si="8">EXP(SQRT((LN(J11)^2)+(LN(K11)^2)+(LN(L11)^2)+(LN(M11)^2)))</f>
        <v>1.2284225230179247</v>
      </c>
      <c r="O11" s="15">
        <f>Backend!G17</f>
        <v>-414</v>
      </c>
      <c r="P11" s="82">
        <f t="shared" si="5"/>
        <v>-508.56692452942082</v>
      </c>
      <c r="Q11" s="82">
        <f t="shared" si="6"/>
        <v>-337.01759145778789</v>
      </c>
    </row>
    <row r="12" spans="2:20" ht="20.100000000000001" thickBot="1">
      <c r="B12" s="254"/>
      <c r="C12" s="11" t="s">
        <v>158</v>
      </c>
      <c r="D12" s="16" t="s">
        <v>161</v>
      </c>
      <c r="E12" s="85" t="s">
        <v>157</v>
      </c>
      <c r="F12" s="85" t="s">
        <v>157</v>
      </c>
      <c r="G12" s="86" t="s">
        <v>156</v>
      </c>
      <c r="H12" s="86" t="s">
        <v>156</v>
      </c>
      <c r="I12" s="85" t="s">
        <v>157</v>
      </c>
      <c r="J12" s="13">
        <f t="shared" si="0"/>
        <v>1.2</v>
      </c>
      <c r="K12" s="13">
        <f t="shared" si="1"/>
        <v>1.1000000000000001</v>
      </c>
      <c r="L12" s="13">
        <f t="shared" si="2"/>
        <v>1</v>
      </c>
      <c r="M12" s="13">
        <f t="shared" si="3"/>
        <v>1</v>
      </c>
      <c r="N12" s="14">
        <f t="shared" si="8"/>
        <v>1.2284225230179247</v>
      </c>
      <c r="O12" s="15">
        <f>Backend!G19</f>
        <v>-1612</v>
      </c>
      <c r="P12" s="82">
        <f t="shared" si="5"/>
        <v>-1980.2171071048945</v>
      </c>
      <c r="Q12" s="82">
        <f t="shared" si="6"/>
        <v>-1312.2520710868457</v>
      </c>
    </row>
    <row r="13" spans="2:20" ht="20.100000000000001" thickBot="1">
      <c r="B13" s="247" t="s">
        <v>162</v>
      </c>
      <c r="C13" s="11" t="s">
        <v>155</v>
      </c>
      <c r="D13" s="12" t="s">
        <v>96</v>
      </c>
      <c r="E13" s="87" t="s">
        <v>163</v>
      </c>
      <c r="F13" s="85" t="s">
        <v>157</v>
      </c>
      <c r="G13" s="87" t="s">
        <v>163</v>
      </c>
      <c r="H13" s="85" t="s">
        <v>157</v>
      </c>
      <c r="I13" s="85" t="s">
        <v>157</v>
      </c>
      <c r="J13" s="13">
        <f t="shared" si="0"/>
        <v>1.5</v>
      </c>
      <c r="K13" s="13">
        <f t="shared" si="1"/>
        <v>1.1000000000000001</v>
      </c>
      <c r="L13" s="13">
        <f t="shared" si="2"/>
        <v>1.05</v>
      </c>
      <c r="M13" s="13">
        <f t="shared" si="3"/>
        <v>1.1000000000000001</v>
      </c>
      <c r="N13" s="14">
        <f t="shared" ref="N13:N18" si="9">EXP(SQRT((LN(J13)^2)+(LN(K13)^2)+(LN(L13)^2)+(LN(M13)^2)))</f>
        <v>1.5373477798642379</v>
      </c>
      <c r="O13" s="40">
        <f>FirstOrderEffects!I16</f>
        <v>3.1305073401360004</v>
      </c>
      <c r="P13" s="82">
        <f t="shared" si="5"/>
        <v>4.8126785092067808</v>
      </c>
      <c r="Q13" s="82">
        <f t="shared" si="6"/>
        <v>2.0363039392507876</v>
      </c>
    </row>
    <row r="14" spans="2:20" ht="20.100000000000001" thickBot="1">
      <c r="B14" s="247"/>
      <c r="C14" s="11" t="s">
        <v>155</v>
      </c>
      <c r="D14" s="12" t="s">
        <v>98</v>
      </c>
      <c r="E14" s="87" t="s">
        <v>163</v>
      </c>
      <c r="F14" s="85" t="s">
        <v>157</v>
      </c>
      <c r="G14" s="87" t="s">
        <v>163</v>
      </c>
      <c r="H14" s="85" t="s">
        <v>157</v>
      </c>
      <c r="I14" s="85" t="s">
        <v>157</v>
      </c>
      <c r="J14" s="13">
        <f t="shared" si="0"/>
        <v>1.5</v>
      </c>
      <c r="K14" s="13">
        <f t="shared" si="1"/>
        <v>1.1000000000000001</v>
      </c>
      <c r="L14" s="13">
        <f t="shared" si="2"/>
        <v>1.05</v>
      </c>
      <c r="M14" s="13">
        <f t="shared" si="3"/>
        <v>1.1000000000000001</v>
      </c>
      <c r="N14" s="14">
        <f t="shared" si="9"/>
        <v>1.5373477798642379</v>
      </c>
      <c r="O14" s="40">
        <f>FirstOrderEffects!I27</f>
        <v>3.1305073401360004</v>
      </c>
      <c r="P14" s="82">
        <f t="shared" si="5"/>
        <v>4.8126785092067808</v>
      </c>
      <c r="Q14" s="82">
        <f t="shared" si="6"/>
        <v>2.0363039392507876</v>
      </c>
    </row>
    <row r="15" spans="2:20" ht="20.100000000000001" thickBot="1">
      <c r="B15" s="247"/>
      <c r="C15" s="11" t="s">
        <v>155</v>
      </c>
      <c r="D15" s="12" t="s">
        <v>101</v>
      </c>
      <c r="E15" s="87" t="s">
        <v>163</v>
      </c>
      <c r="F15" s="85" t="s">
        <v>157</v>
      </c>
      <c r="G15" s="87" t="s">
        <v>163</v>
      </c>
      <c r="H15" s="85" t="s">
        <v>157</v>
      </c>
      <c r="I15" s="85" t="s">
        <v>157</v>
      </c>
      <c r="J15" s="13">
        <f t="shared" si="0"/>
        <v>1.5</v>
      </c>
      <c r="K15" s="13">
        <f t="shared" si="1"/>
        <v>1.1000000000000001</v>
      </c>
      <c r="L15" s="13">
        <f t="shared" si="2"/>
        <v>1.05</v>
      </c>
      <c r="M15" s="13">
        <f t="shared" si="3"/>
        <v>1.1000000000000001</v>
      </c>
      <c r="N15" s="14">
        <f t="shared" si="9"/>
        <v>1.5373477798642379</v>
      </c>
      <c r="O15" s="40">
        <f>FirstOrderEffects!I41</f>
        <v>5.8448485300859998</v>
      </c>
      <c r="P15" s="82">
        <f t="shared" si="5"/>
        <v>8.9855649113704654</v>
      </c>
      <c r="Q15" s="82">
        <f t="shared" si="6"/>
        <v>3.8019039066112641</v>
      </c>
    </row>
    <row r="16" spans="2:20" ht="20.100000000000001" thickBot="1">
      <c r="B16" s="247"/>
      <c r="C16" s="11" t="s">
        <v>158</v>
      </c>
      <c r="D16" s="88" t="s">
        <v>159</v>
      </c>
      <c r="E16" s="85" t="s">
        <v>157</v>
      </c>
      <c r="F16" s="85" t="s">
        <v>157</v>
      </c>
      <c r="G16" s="87" t="s">
        <v>163</v>
      </c>
      <c r="H16" s="85" t="s">
        <v>157</v>
      </c>
      <c r="I16" s="85" t="s">
        <v>157</v>
      </c>
      <c r="J16" s="13">
        <f t="shared" si="0"/>
        <v>1.2</v>
      </c>
      <c r="K16" s="13">
        <f t="shared" si="1"/>
        <v>1.1000000000000001</v>
      </c>
      <c r="L16" s="13">
        <f t="shared" si="2"/>
        <v>1.05</v>
      </c>
      <c r="M16" s="13">
        <f t="shared" si="3"/>
        <v>1.1000000000000001</v>
      </c>
      <c r="N16" s="14">
        <f t="shared" si="9"/>
        <v>1.2610264677735246</v>
      </c>
      <c r="O16" s="40">
        <f>Backend!E44</f>
        <v>1.5311E-4</v>
      </c>
      <c r="P16" s="82">
        <f t="shared" si="5"/>
        <v>1.9307576248080434E-4</v>
      </c>
      <c r="Q16" s="82">
        <f t="shared" si="6"/>
        <v>1.214169598440958E-4</v>
      </c>
    </row>
    <row r="17" spans="2:23" ht="20.100000000000001" thickBot="1">
      <c r="B17" s="247"/>
      <c r="C17" s="11" t="s">
        <v>158</v>
      </c>
      <c r="D17" s="88" t="s">
        <v>160</v>
      </c>
      <c r="E17" s="85" t="s">
        <v>157</v>
      </c>
      <c r="F17" s="85" t="s">
        <v>157</v>
      </c>
      <c r="G17" s="87" t="s">
        <v>163</v>
      </c>
      <c r="H17" s="85" t="s">
        <v>157</v>
      </c>
      <c r="I17" s="85" t="s">
        <v>157</v>
      </c>
      <c r="J17" s="13">
        <f t="shared" si="0"/>
        <v>1.2</v>
      </c>
      <c r="K17" s="13">
        <f t="shared" si="1"/>
        <v>1.1000000000000001</v>
      </c>
      <c r="L17" s="13">
        <f t="shared" si="2"/>
        <v>1.05</v>
      </c>
      <c r="M17" s="13">
        <f t="shared" si="3"/>
        <v>1.1000000000000001</v>
      </c>
      <c r="N17" s="14">
        <f t="shared" si="9"/>
        <v>1.2610264677735246</v>
      </c>
      <c r="O17" s="40">
        <f>Backend!E45</f>
        <v>2.6350992505124999</v>
      </c>
      <c r="P17" s="82">
        <f t="shared" si="5"/>
        <v>3.3229299001064398</v>
      </c>
      <c r="Q17" s="82">
        <f t="shared" si="6"/>
        <v>2.0896462666362949</v>
      </c>
    </row>
    <row r="18" spans="2:23">
      <c r="B18" s="247"/>
      <c r="C18" s="11" t="s">
        <v>158</v>
      </c>
      <c r="D18" s="16" t="s">
        <v>161</v>
      </c>
      <c r="E18" s="85" t="s">
        <v>157</v>
      </c>
      <c r="F18" s="85" t="s">
        <v>157</v>
      </c>
      <c r="G18" s="85" t="s">
        <v>157</v>
      </c>
      <c r="H18" s="85" t="s">
        <v>157</v>
      </c>
      <c r="I18" s="85" t="s">
        <v>157</v>
      </c>
      <c r="J18" s="13">
        <f t="shared" si="0"/>
        <v>1.2</v>
      </c>
      <c r="K18" s="13">
        <f t="shared" si="1"/>
        <v>1.1000000000000001</v>
      </c>
      <c r="L18" s="13">
        <f t="shared" si="2"/>
        <v>1.02</v>
      </c>
      <c r="M18" s="13">
        <f t="shared" si="3"/>
        <v>1.1000000000000001</v>
      </c>
      <c r="N18" s="14">
        <f t="shared" si="9"/>
        <v>1.2555818742947564</v>
      </c>
      <c r="O18" s="40">
        <f>Backend!E46</f>
        <v>0.32200000000000001</v>
      </c>
      <c r="P18" s="82">
        <f t="shared" si="5"/>
        <v>0.40429736352291157</v>
      </c>
      <c r="Q18" s="82">
        <f t="shared" si="6"/>
        <v>0.2564548012297988</v>
      </c>
    </row>
    <row r="19" spans="2:23">
      <c r="B19" s="89"/>
      <c r="E19" s="89"/>
      <c r="F19" s="89"/>
      <c r="G19" s="89"/>
      <c r="H19" s="89"/>
      <c r="I19" s="89"/>
      <c r="J19" s="89"/>
      <c r="K19" s="89"/>
      <c r="L19" s="89"/>
      <c r="M19" s="89"/>
      <c r="N19" s="90"/>
      <c r="O19" s="90"/>
      <c r="P19" s="91"/>
      <c r="Q19" s="91"/>
    </row>
    <row r="20" spans="2:23">
      <c r="B20" s="89"/>
      <c r="C20" s="37"/>
      <c r="D20" s="37"/>
      <c r="E20" s="89"/>
      <c r="F20" s="89"/>
      <c r="G20" s="89"/>
      <c r="H20" s="89"/>
      <c r="I20" s="89"/>
      <c r="J20" s="89"/>
      <c r="K20" s="89"/>
      <c r="L20" s="89"/>
      <c r="M20" s="89"/>
      <c r="N20" s="90"/>
      <c r="O20" s="90"/>
      <c r="P20" s="91"/>
      <c r="Q20" s="91"/>
    </row>
    <row r="21" spans="2:23">
      <c r="C21" s="23"/>
      <c r="E21" s="17"/>
      <c r="O21" s="17"/>
    </row>
    <row r="23" spans="2:23">
      <c r="B23" s="2" t="s">
        <v>164</v>
      </c>
      <c r="L23" s="247" t="s">
        <v>165</v>
      </c>
      <c r="M23" s="235" t="s">
        <v>155</v>
      </c>
      <c r="N23" s="11" t="str">
        <f t="shared" ref="N23:N28" si="10">D7</f>
        <v>IoT MicroClimate sensor station (SOIL-LEAF)</v>
      </c>
      <c r="O23" s="14">
        <f t="shared" ref="O23:Q28" si="11">O7*O13</f>
        <v>6.2610146802720008</v>
      </c>
      <c r="P23" s="14">
        <f t="shared" si="11"/>
        <v>10.587892720254919</v>
      </c>
      <c r="Q23" s="14">
        <f t="shared" si="11"/>
        <v>3.7023707986377956</v>
      </c>
    </row>
    <row r="24" spans="2:23">
      <c r="L24" s="247"/>
      <c r="M24" s="235" t="s">
        <v>155</v>
      </c>
      <c r="N24" s="11" t="str">
        <f t="shared" si="10"/>
        <v>IoT MicroClimate sensor station (SOIL-PH)</v>
      </c>
      <c r="O24" s="14">
        <f t="shared" si="11"/>
        <v>3.1305073401360004</v>
      </c>
      <c r="P24" s="14">
        <f t="shared" si="11"/>
        <v>5.2939463601274594</v>
      </c>
      <c r="Q24" s="14">
        <f t="shared" si="11"/>
        <v>1.8511853993188978</v>
      </c>
    </row>
    <row r="25" spans="2:23">
      <c r="B25" s="18" t="s">
        <v>166</v>
      </c>
      <c r="C25" s="19" t="s">
        <v>167</v>
      </c>
      <c r="D25" s="19" t="s">
        <v>168</v>
      </c>
      <c r="E25" s="19" t="s">
        <v>163</v>
      </c>
      <c r="F25" s="19" t="s">
        <v>169</v>
      </c>
      <c r="L25" s="247"/>
      <c r="M25" s="235" t="s">
        <v>155</v>
      </c>
      <c r="N25" s="11" t="str">
        <f t="shared" si="10"/>
        <v>IoT WeatherStation sensor station (AIR – WIND – RAIN – SOLAR)</v>
      </c>
      <c r="O25" s="14">
        <f t="shared" si="11"/>
        <v>5.8448485300859998</v>
      </c>
      <c r="P25" s="14">
        <f t="shared" si="11"/>
        <v>9.8841214025075121</v>
      </c>
      <c r="Q25" s="14">
        <f t="shared" si="11"/>
        <v>3.4562762787375125</v>
      </c>
    </row>
    <row r="26" spans="2:23" ht="39">
      <c r="B26" s="20" t="s">
        <v>170</v>
      </c>
      <c r="C26" s="21" t="s">
        <v>171</v>
      </c>
      <c r="D26" s="21" t="s">
        <v>172</v>
      </c>
      <c r="E26" s="21" t="s">
        <v>173</v>
      </c>
      <c r="F26" s="21" t="s">
        <v>174</v>
      </c>
      <c r="L26" s="247"/>
      <c r="M26" s="235" t="s">
        <v>158</v>
      </c>
      <c r="N26" s="11" t="str">
        <f t="shared" si="10"/>
        <v>Water</v>
      </c>
      <c r="O26" s="14">
        <f t="shared" si="11"/>
        <v>-0.12733648333333331</v>
      </c>
      <c r="P26" s="14">
        <f t="shared" si="11"/>
        <v>-0.19725354837476552</v>
      </c>
      <c r="Q26" s="14">
        <f t="shared" si="11"/>
        <v>-8.2201715108789347E-2</v>
      </c>
    </row>
    <row r="27" spans="2:23" ht="55.15" customHeight="1">
      <c r="B27" s="20" t="s">
        <v>175</v>
      </c>
      <c r="C27" s="21" t="s">
        <v>176</v>
      </c>
      <c r="D27" s="21" t="s">
        <v>177</v>
      </c>
      <c r="E27" s="21" t="s">
        <v>178</v>
      </c>
      <c r="F27" s="21" t="s">
        <v>179</v>
      </c>
      <c r="L27" s="247"/>
      <c r="M27" s="235" t="s">
        <v>158</v>
      </c>
      <c r="N27" s="11" t="str">
        <f t="shared" si="10"/>
        <v xml:space="preserve">Diesel </v>
      </c>
      <c r="O27" s="14">
        <f t="shared" si="11"/>
        <v>-1090.931089712175</v>
      </c>
      <c r="P27" s="14">
        <f t="shared" si="11"/>
        <v>-1689.9322397239875</v>
      </c>
      <c r="Q27" s="14">
        <f t="shared" si="11"/>
        <v>-704.24755178052249</v>
      </c>
    </row>
    <row r="28" spans="2:23" ht="58.5">
      <c r="B28" s="20" t="s">
        <v>180</v>
      </c>
      <c r="C28" s="21" t="s">
        <v>181</v>
      </c>
      <c r="D28" s="21" t="s">
        <v>182</v>
      </c>
      <c r="E28" s="21" t="s">
        <v>183</v>
      </c>
      <c r="F28" s="21" t="s">
        <v>184</v>
      </c>
      <c r="L28" s="247"/>
      <c r="M28" s="235" t="s">
        <v>158</v>
      </c>
      <c r="N28" s="11" t="str">
        <f t="shared" si="10"/>
        <v xml:space="preserve">Electricity </v>
      </c>
      <c r="O28" s="14">
        <f t="shared" si="11"/>
        <v>-519.06399999999996</v>
      </c>
      <c r="P28" s="14">
        <f t="shared" si="11"/>
        <v>-800.59655560547583</v>
      </c>
      <c r="Q28" s="14">
        <f t="shared" si="11"/>
        <v>-336.53334405396885</v>
      </c>
    </row>
    <row r="29" spans="2:23" ht="97.5">
      <c r="B29" s="20" t="s">
        <v>149</v>
      </c>
      <c r="C29" s="21" t="s">
        <v>185</v>
      </c>
      <c r="D29" s="21" t="s">
        <v>186</v>
      </c>
      <c r="E29" s="22" t="s">
        <v>187</v>
      </c>
      <c r="F29" s="21" t="s">
        <v>188</v>
      </c>
      <c r="L29" s="247"/>
      <c r="M29" s="236" t="s">
        <v>189</v>
      </c>
      <c r="N29" s="11"/>
      <c r="O29" s="14">
        <f>(SUM(O26:O28)+SUM(O23:O25))/1000</f>
        <v>-1.594886055645014</v>
      </c>
      <c r="P29" s="14">
        <f>((SUM(P26:P28)-SUM(P23:P25)))/1000</f>
        <v>-2.5164920093607286</v>
      </c>
      <c r="Q29" s="14">
        <f>((SUM(Q26:Q28)-SUM(Q23:Q25)))/1000</f>
        <v>-1.0498729300262941</v>
      </c>
    </row>
    <row r="30" spans="2:23" ht="97.5">
      <c r="B30" s="20" t="s">
        <v>190</v>
      </c>
      <c r="C30" s="21" t="s">
        <v>191</v>
      </c>
      <c r="D30" s="21" t="s">
        <v>192</v>
      </c>
      <c r="E30" s="21" t="s">
        <v>193</v>
      </c>
      <c r="F30" s="21" t="s">
        <v>194</v>
      </c>
      <c r="L30" s="247"/>
      <c r="M30" s="237" t="s">
        <v>195</v>
      </c>
      <c r="N30" s="21"/>
      <c r="O30" s="55">
        <f>O29-O29</f>
        <v>0</v>
      </c>
      <c r="P30" s="55">
        <f>P29-O29</f>
        <v>-0.92160595371571463</v>
      </c>
      <c r="Q30" s="14">
        <f>O29-Q29</f>
        <v>-0.54501312561871984</v>
      </c>
    </row>
    <row r="31" spans="2:23">
      <c r="B31" s="37" t="s">
        <v>196</v>
      </c>
      <c r="C31" s="4"/>
      <c r="D31" s="4"/>
      <c r="E31" s="4"/>
      <c r="F31" s="4"/>
      <c r="L31" s="37"/>
      <c r="M31" s="3"/>
      <c r="N31" s="3"/>
      <c r="O31" s="3"/>
      <c r="P31" s="3"/>
    </row>
    <row r="32" spans="2:23">
      <c r="C32" s="4"/>
      <c r="D32" s="4"/>
      <c r="E32" s="4"/>
      <c r="F32" s="4"/>
      <c r="M32" s="3"/>
      <c r="R32" s="4"/>
      <c r="S32" s="4"/>
    </row>
    <row r="33" spans="2:19">
      <c r="B33" s="18" t="s">
        <v>166</v>
      </c>
      <c r="C33" s="24" t="s">
        <v>156</v>
      </c>
      <c r="D33" s="19" t="s">
        <v>157</v>
      </c>
      <c r="E33" s="24" t="s">
        <v>163</v>
      </c>
      <c r="F33" s="19" t="s">
        <v>169</v>
      </c>
      <c r="M33" s="3"/>
      <c r="R33" s="4"/>
      <c r="S33" s="4"/>
    </row>
    <row r="34" spans="2:19">
      <c r="B34" s="25" t="s">
        <v>190</v>
      </c>
      <c r="C34" s="26">
        <v>1</v>
      </c>
      <c r="D34" s="26">
        <v>1.1000000000000001</v>
      </c>
      <c r="E34" s="26">
        <v>1.2</v>
      </c>
      <c r="F34" s="26">
        <v>1.5</v>
      </c>
      <c r="L34" s="37"/>
    </row>
    <row r="35" spans="2:19">
      <c r="B35" s="25" t="s">
        <v>149</v>
      </c>
      <c r="C35" s="26">
        <v>1</v>
      </c>
      <c r="D35" s="26">
        <v>1.05</v>
      </c>
      <c r="E35" s="26">
        <v>1.1000000000000001</v>
      </c>
      <c r="F35" s="26">
        <v>1.2</v>
      </c>
      <c r="L35" s="37"/>
    </row>
    <row r="36" spans="2:19">
      <c r="B36" s="25" t="s">
        <v>175</v>
      </c>
      <c r="C36" s="26">
        <v>1</v>
      </c>
      <c r="D36" s="26">
        <v>1.1000000000000001</v>
      </c>
      <c r="E36" s="26">
        <v>1.2</v>
      </c>
      <c r="F36" s="26">
        <v>1.5</v>
      </c>
      <c r="L36" s="37"/>
    </row>
    <row r="37" spans="2:19">
      <c r="B37" s="25" t="s">
        <v>180</v>
      </c>
      <c r="C37" s="26">
        <v>1</v>
      </c>
      <c r="D37" s="26">
        <v>1.02</v>
      </c>
      <c r="E37" s="26">
        <v>1.05</v>
      </c>
      <c r="F37" s="26">
        <v>1.1000000000000001</v>
      </c>
    </row>
    <row r="38" spans="2:19">
      <c r="B38" s="25" t="s">
        <v>170</v>
      </c>
      <c r="C38" s="26">
        <v>1</v>
      </c>
      <c r="D38" s="26">
        <v>1.2</v>
      </c>
      <c r="E38" s="26">
        <v>1.5</v>
      </c>
      <c r="F38" s="26">
        <v>2</v>
      </c>
    </row>
    <row r="39" spans="2:19">
      <c r="B39" s="3" t="s">
        <v>197</v>
      </c>
    </row>
  </sheetData>
  <mergeCells count="6">
    <mergeCell ref="L23:L30"/>
    <mergeCell ref="E5:I5"/>
    <mergeCell ref="J5:N5"/>
    <mergeCell ref="O5:Q5"/>
    <mergeCell ref="B13:B18"/>
    <mergeCell ref="B7:B12"/>
  </mergeCells>
  <phoneticPr fontId="7" type="noConversion"/>
  <conditionalFormatting sqref="B34:B38">
    <cfRule type="containsText" dxfId="10" priority="29" operator="containsText" text="Poor">
      <formula>NOT(ISERROR(SEARCH("Poor",B34)))</formula>
    </cfRule>
    <cfRule type="containsText" dxfId="9" priority="30" operator="containsText" text="Fair">
      <formula>NOT(ISERROR(SEARCH("Fair",B34)))</formula>
    </cfRule>
    <cfRule type="containsText" dxfId="8" priority="31" operator="containsText" text="Good ">
      <formula>NOT(ISERROR(SEARCH("Good ",B34)))</formula>
    </cfRule>
    <cfRule type="containsText" dxfId="7" priority="32" operator="containsText" text="Very Good">
      <formula>NOT(ISERROR(SEARCH("Very Good",B34)))</formula>
    </cfRule>
  </conditionalFormatting>
  <conditionalFormatting sqref="F7:F9 I7:I12 E10:F12 E19:I21 B26:B31">
    <cfRule type="containsText" dxfId="6" priority="49" operator="containsText" text="Poor">
      <formula>NOT(ISERROR(SEARCH("Poor",B7)))</formula>
    </cfRule>
    <cfRule type="containsText" dxfId="5" priority="50" operator="containsText" text="Fair">
      <formula>NOT(ISERROR(SEARCH("Fair",B7)))</formula>
    </cfRule>
    <cfRule type="containsText" dxfId="4" priority="51" operator="containsText" text="Good ">
      <formula>NOT(ISERROR(SEARCH("Good ",B7)))</formula>
    </cfRule>
    <cfRule type="containsText" dxfId="3" priority="52" operator="containsText" text="Very Good">
      <formula>NOT(ISERROR(SEARCH("Very Good",B7)))</formula>
    </cfRule>
  </conditionalFormatting>
  <dataValidations disablePrompts="1" count="1">
    <dataValidation type="list" allowBlank="1" showInputMessage="1" showErrorMessage="1" sqref="E7:I21" xr:uid="{E2E24EF6-44A1-4C6C-BD0E-E6075C6AE509}">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DBCD9-403F-4B7F-A72F-4CF3D12C5F6A}">
  <sheetPr>
    <tabColor rgb="FFA6D9F7"/>
  </sheetPr>
  <dimension ref="B2:O18"/>
  <sheetViews>
    <sheetView topLeftCell="D5" workbookViewId="0">
      <selection activeCell="G6" sqref="G6"/>
    </sheetView>
  </sheetViews>
  <sheetFormatPr defaultColWidth="8.75" defaultRowHeight="19.5"/>
  <cols>
    <col min="1" max="1" width="5.125" style="3" customWidth="1"/>
    <col min="2" max="2" width="19.75" style="3" customWidth="1"/>
    <col min="3" max="3" width="28.375" style="3" customWidth="1"/>
    <col min="4" max="4" width="59" style="3" customWidth="1"/>
    <col min="5" max="5" width="14.375" style="3" customWidth="1"/>
    <col min="6" max="6" width="15.875" style="3" customWidth="1"/>
    <col min="7" max="7" width="19.25" style="3" customWidth="1"/>
    <col min="8" max="8" width="12.25" style="3" customWidth="1"/>
    <col min="9" max="9" width="14.125" style="3" customWidth="1"/>
    <col min="10" max="10" width="22.5" style="3" customWidth="1"/>
    <col min="11" max="11" width="17.125" style="3" customWidth="1"/>
    <col min="12" max="12" width="24.625" style="3" customWidth="1"/>
    <col min="13" max="13" width="24.875" style="3" customWidth="1"/>
    <col min="14" max="14" width="81.625" style="3" customWidth="1"/>
    <col min="15" max="16384" width="8.75" style="3"/>
  </cols>
  <sheetData>
    <row r="2" spans="2:15">
      <c r="B2" s="2" t="s">
        <v>198</v>
      </c>
    </row>
    <row r="3" spans="2:15">
      <c r="B3" s="3" t="s">
        <v>199</v>
      </c>
    </row>
    <row r="5" spans="2:15" ht="78">
      <c r="B5" s="38" t="s">
        <v>143</v>
      </c>
      <c r="C5" s="38" t="str">
        <f>'Uncertainty Analysis'!C6</f>
        <v>Impact effect</v>
      </c>
      <c r="D5" s="38" t="str">
        <f>'Uncertainty Analysis'!D6</f>
        <v>Description of effect</v>
      </c>
      <c r="E5" s="38" t="str">
        <f>'Uncertainty Analysis'!O6</f>
        <v>Input data</v>
      </c>
      <c r="F5" s="38" t="s">
        <v>200</v>
      </c>
      <c r="G5" s="38" t="s">
        <v>201</v>
      </c>
      <c r="H5" s="39" t="str">
        <f>'Uncertainty Analysis'!P6</f>
        <v>Input data with SD (higher range)</v>
      </c>
      <c r="I5" s="39" t="str">
        <f>'Uncertainty Analysis'!Q6</f>
        <v>Input data with SD (lower range)</v>
      </c>
      <c r="J5" s="38" t="s">
        <v>202</v>
      </c>
      <c r="K5" s="38" t="s">
        <v>203</v>
      </c>
      <c r="L5" s="38" t="s">
        <v>204</v>
      </c>
      <c r="M5" s="38" t="s">
        <v>205</v>
      </c>
      <c r="N5" s="38" t="s">
        <v>206</v>
      </c>
    </row>
    <row r="6" spans="2:15">
      <c r="B6" s="30" t="s">
        <v>207</v>
      </c>
      <c r="C6" s="30" t="str">
        <f>'Uncertainty Analysis'!C7</f>
        <v xml:space="preserve">1st order </v>
      </c>
      <c r="D6" s="30" t="str">
        <f>'Uncertainty Analysis'!D7</f>
        <v>IoT MicroClimate sensor station (SOIL-LEAF)</v>
      </c>
      <c r="E6" s="40">
        <f>'Uncertainty Analysis'!O7</f>
        <v>2</v>
      </c>
      <c r="F6" s="41">
        <v>-0.05</v>
      </c>
      <c r="G6" s="41">
        <v>0.05</v>
      </c>
      <c r="H6" s="54">
        <f>E6+(F6*E6)</f>
        <v>1.9</v>
      </c>
      <c r="I6" s="42">
        <f>E6+(G6*E6)</f>
        <v>2.1</v>
      </c>
      <c r="J6" s="42">
        <f>('Uncertainty Analysis'!$O$29*1000)-('Sensitivity Analysis'!$E6*$E12)+($H6*$E12)</f>
        <v>-1595.1991063790276</v>
      </c>
      <c r="K6" s="42">
        <f>('Uncertainty Analysis'!$O$29*1000)-('Sensitivity Analysis'!$E6*$E12)+($I6*$E12)</f>
        <v>-1594.5730049110005</v>
      </c>
      <c r="L6" s="43">
        <f>J6/(Calculator!$C$35)-1</f>
        <v>1.9628407490612787E-4</v>
      </c>
      <c r="M6" s="43">
        <f>K6/(Calculator!$C$35)-1</f>
        <v>-1.96284074906794E-4</v>
      </c>
      <c r="N6" s="44" t="str">
        <f>D6&amp;" "&amp;B6&amp;" +"&amp;TEXT(G6,"0%")&amp;"/"&amp;TEXT(F6,"0%")</f>
        <v>IoT MicroClimate sensor station (SOIL-LEAF) activity data +5%/-5%</v>
      </c>
      <c r="O6" s="45"/>
    </row>
    <row r="7" spans="2:15">
      <c r="B7" s="30" t="s">
        <v>207</v>
      </c>
      <c r="C7" s="30" t="str">
        <f>'Uncertainty Analysis'!C8</f>
        <v xml:space="preserve">1st order </v>
      </c>
      <c r="D7" s="30" t="str">
        <f>'Uncertainty Analysis'!D8</f>
        <v>IoT MicroClimate sensor station (SOIL-PH)</v>
      </c>
      <c r="E7" s="40">
        <f>'Uncertainty Analysis'!O8</f>
        <v>1</v>
      </c>
      <c r="F7" s="41">
        <v>-0.05</v>
      </c>
      <c r="G7" s="41">
        <v>0.05</v>
      </c>
      <c r="H7" s="54">
        <f t="shared" ref="H7:H9" si="0">E7+(F7*E7)</f>
        <v>0.95</v>
      </c>
      <c r="I7" s="42">
        <f t="shared" ref="I7:I9" si="1">E7+(G7*E7)</f>
        <v>1.05</v>
      </c>
      <c r="J7" s="42">
        <f>('Uncertainty Analysis'!$O$29*1000)-('Sensitivity Analysis'!$E7*$E13)+($H7*$E13)</f>
        <v>-1595.0425810120209</v>
      </c>
      <c r="K7" s="42">
        <f>('Uncertainty Analysis'!$O$29*1000)-('Sensitivity Analysis'!$E7*$E13)+($I7*$E13)</f>
        <v>-1594.7295302780074</v>
      </c>
      <c r="L7" s="43">
        <f>J7/(Calculator!$C$35)-1</f>
        <v>9.8142037453063935E-5</v>
      </c>
      <c r="M7" s="43">
        <f>K7/(Calculator!$C$35)-1</f>
        <v>-9.8142037453508024E-5</v>
      </c>
      <c r="N7" s="44" t="str">
        <f t="shared" ref="N7:N9" si="2">D7&amp;" "&amp;B7&amp;" +"&amp;TEXT(G7,"0%")&amp;"/"&amp;TEXT(F7,"0%")</f>
        <v>IoT MicroClimate sensor station (SOIL-PH) activity data +5%/-5%</v>
      </c>
    </row>
    <row r="8" spans="2:15">
      <c r="B8" s="30" t="s">
        <v>207</v>
      </c>
      <c r="C8" s="30" t="str">
        <f>'Uncertainty Analysis'!C9</f>
        <v xml:space="preserve">1st order </v>
      </c>
      <c r="D8" s="30" t="str">
        <f>'Uncertainty Analysis'!D9</f>
        <v>IoT WeatherStation sensor station (AIR – WIND – RAIN – SOLAR)</v>
      </c>
      <c r="E8" s="40">
        <f>'Uncertainty Analysis'!O9</f>
        <v>1</v>
      </c>
      <c r="F8" s="41">
        <v>-0.05</v>
      </c>
      <c r="G8" s="41">
        <v>0.05</v>
      </c>
      <c r="H8" s="54">
        <f t="shared" si="0"/>
        <v>0.95</v>
      </c>
      <c r="I8" s="42">
        <f t="shared" si="1"/>
        <v>1.05</v>
      </c>
      <c r="J8" s="42">
        <f>('Uncertainty Analysis'!$O$29*1000)-('Sensitivity Analysis'!$E8*$E14)+($H8*$E14)</f>
        <v>-1595.1782980715184</v>
      </c>
      <c r="K8" s="42">
        <f>('Uncertainty Analysis'!$O$29*1000)-('Sensitivity Analysis'!$E8*$E14)+($I8*$E14)</f>
        <v>-1594.5938132185097</v>
      </c>
      <c r="L8" s="43">
        <f>J8/(Calculator!$C$35)-1</f>
        <v>1.8323718203538952E-4</v>
      </c>
      <c r="M8" s="43">
        <f>K8/(Calculator!$C$35)-1</f>
        <v>-1.8323718203594463E-4</v>
      </c>
      <c r="N8" s="44" t="str">
        <f t="shared" si="2"/>
        <v>IoT WeatherStation sensor station (AIR – WIND – RAIN – SOLAR) activity data +5%/-5%</v>
      </c>
    </row>
    <row r="9" spans="2:15">
      <c r="B9" s="30" t="s">
        <v>207</v>
      </c>
      <c r="C9" s="30" t="str">
        <f>'Uncertainty Analysis'!C10</f>
        <v xml:space="preserve">2nd order </v>
      </c>
      <c r="D9" s="30" t="str">
        <f>'Uncertainty Analysis'!D10</f>
        <v>Water</v>
      </c>
      <c r="E9" s="40">
        <f>'Uncertainty Analysis'!O10</f>
        <v>-831.66666666666652</v>
      </c>
      <c r="F9" s="41">
        <v>-0.05</v>
      </c>
      <c r="G9" s="41">
        <v>0.05</v>
      </c>
      <c r="H9" s="54">
        <f t="shared" si="0"/>
        <v>-790.08333333333314</v>
      </c>
      <c r="I9" s="42">
        <f t="shared" si="1"/>
        <v>-873.24999999999989</v>
      </c>
      <c r="J9" s="42">
        <f>('Uncertainty Analysis'!$O$29*1000)-('Sensitivity Analysis'!$E9*$E15)+($H9*$E15)</f>
        <v>-1594.8796888208474</v>
      </c>
      <c r="K9" s="42">
        <f>('Uncertainty Analysis'!$O$29*1000)-('Sensitivity Analysis'!$E9*$E15)+($I9*$E15)</f>
        <v>-1594.8924224691807</v>
      </c>
      <c r="L9" s="43">
        <f>J9/(Calculator!$C$35)-1</f>
        <v>-3.9920244738755883E-6</v>
      </c>
      <c r="M9" s="43">
        <f>K9/(Calculator!$C$35)-1</f>
        <v>3.9920244732094545E-6</v>
      </c>
      <c r="N9" s="44" t="str">
        <f t="shared" si="2"/>
        <v>Water activity data +5%/-5%</v>
      </c>
    </row>
    <row r="10" spans="2:15">
      <c r="B10" s="30" t="s">
        <v>207</v>
      </c>
      <c r="C10" s="30" t="str">
        <f>'Uncertainty Analysis'!C11</f>
        <v xml:space="preserve">2nd order </v>
      </c>
      <c r="D10" s="30" t="str">
        <f>'Uncertainty Analysis'!D11</f>
        <v xml:space="preserve">Diesel </v>
      </c>
      <c r="E10" s="40">
        <f>'Uncertainty Analysis'!O11</f>
        <v>-414</v>
      </c>
      <c r="F10" s="41">
        <v>-0.05</v>
      </c>
      <c r="G10" s="41">
        <v>0.05</v>
      </c>
      <c r="H10" s="54">
        <f>E10+(F10*E10)</f>
        <v>-393.3</v>
      </c>
      <c r="I10" s="42">
        <f>E10+(G10*E10)</f>
        <v>-434.7</v>
      </c>
      <c r="J10" s="42">
        <f>('Uncertainty Analysis'!$O$29*1000)-('Sensitivity Analysis'!$E10*$E16)+($H10*$E16)</f>
        <v>-1540.3395011594052</v>
      </c>
      <c r="K10" s="42">
        <f>('Uncertainty Analysis'!$O$29*1000)-('Sensitivity Analysis'!$E10*$E16)+($I10*$E16)</f>
        <v>-1649.4326101306228</v>
      </c>
      <c r="L10" s="43">
        <f>J10/(Calculator!$C$35)-1</f>
        <v>-3.4200910022722075E-2</v>
      </c>
      <c r="M10" s="43">
        <f>K10/(Calculator!$C$35)-1</f>
        <v>3.4200910022721409E-2</v>
      </c>
      <c r="N10" s="44" t="str">
        <f>D10&amp;" "&amp;B10&amp;" +"&amp;TEXT(G10,"0%")&amp;"/"&amp;TEXT(F10,"0%")</f>
        <v>Diesel  activity data +5%/-5%</v>
      </c>
    </row>
    <row r="11" spans="2:15">
      <c r="B11" s="30" t="s">
        <v>207</v>
      </c>
      <c r="C11" s="30" t="str">
        <f>'Uncertainty Analysis'!C12</f>
        <v xml:space="preserve">2nd order </v>
      </c>
      <c r="D11" s="30" t="str">
        <f>'Uncertainty Analysis'!D12</f>
        <v xml:space="preserve">Electricity </v>
      </c>
      <c r="E11" s="40">
        <f>'Uncertainty Analysis'!O12</f>
        <v>-1612</v>
      </c>
      <c r="F11" s="41">
        <v>-0.05</v>
      </c>
      <c r="G11" s="41">
        <v>0.05</v>
      </c>
      <c r="H11" s="54">
        <f t="shared" ref="H11" si="3">E11+(F11*E11)</f>
        <v>-1531.4</v>
      </c>
      <c r="I11" s="42">
        <f t="shared" ref="I11" si="4">E11+(G11*E11)</f>
        <v>-1692.6</v>
      </c>
      <c r="J11" s="42">
        <f>('Uncertainty Analysis'!$O$29*1000)-('Sensitivity Analysis'!$E11*$E17)+($H11*$E17)</f>
        <v>-1568.9328556450141</v>
      </c>
      <c r="K11" s="42">
        <f>('Uncertainty Analysis'!$O$29*1000)-('Sensitivity Analysis'!$E11*$E17)+($I11*$E17)</f>
        <v>-1620.8392556450142</v>
      </c>
      <c r="L11" s="43">
        <f>J11/(Calculator!$C$35)-1</f>
        <v>-1.627276124720034E-2</v>
      </c>
      <c r="M11" s="43">
        <f>K11/(Calculator!$C$35)-1</f>
        <v>1.6272761247200007E-2</v>
      </c>
      <c r="N11" s="44" t="str">
        <f t="shared" ref="N11" si="5">D11&amp;" "&amp;B11&amp;" +"&amp;TEXT(G11,"0%")&amp;"/"&amp;TEXT(F11,"0%")</f>
        <v>Electricity  activity data +5%/-5%</v>
      </c>
    </row>
    <row r="12" spans="2:15">
      <c r="B12" s="30" t="s">
        <v>208</v>
      </c>
      <c r="C12" s="30" t="str">
        <f>'Uncertainty Analysis'!C13</f>
        <v xml:space="preserve">1st order </v>
      </c>
      <c r="D12" s="30" t="str">
        <f>'Uncertainty Analysis'!D13</f>
        <v>IoT MicroClimate sensor station (SOIL-LEAF)</v>
      </c>
      <c r="E12" s="40">
        <f>'Uncertainty Analysis'!O13</f>
        <v>3.1305073401360004</v>
      </c>
      <c r="F12" s="41">
        <v>-0.05</v>
      </c>
      <c r="G12" s="41">
        <v>0.05</v>
      </c>
      <c r="H12" s="54">
        <f t="shared" ref="H12:H17" si="6">E12+(F12*E12)</f>
        <v>2.9739819731292005</v>
      </c>
      <c r="I12" s="42">
        <f t="shared" ref="I12:I17" si="7">E12+(G12*E12)</f>
        <v>3.2870327071428003</v>
      </c>
      <c r="J12" s="42">
        <f>('Uncertainty Analysis'!$O$29*1000)-('Sensitivity Analysis'!$E6*$E12)+($H6*$E12)</f>
        <v>-1595.1991063790276</v>
      </c>
      <c r="K12" s="42">
        <f>('Uncertainty Analysis'!$O$29*1000)-('Sensitivity Analysis'!$E6*$E12)+($I6*$E12)</f>
        <v>-1594.5730049110005</v>
      </c>
      <c r="L12" s="43">
        <f>J12/(Calculator!$C$35)-1</f>
        <v>1.9628407490612787E-4</v>
      </c>
      <c r="M12" s="43">
        <f>K12/(Calculator!$C$35)-1</f>
        <v>-1.96284074906794E-4</v>
      </c>
      <c r="N12" s="44" t="str">
        <f t="shared" ref="N12:N17" si="8">D12&amp;" "&amp;B12&amp;" +"&amp;TEXT(G12,"0%")&amp;"/"&amp;TEXT(F12,"0%")</f>
        <v>IoT MicroClimate sensor station (SOIL-LEAF) emission factor +5%/-5%</v>
      </c>
    </row>
    <row r="13" spans="2:15">
      <c r="B13" s="30" t="s">
        <v>208</v>
      </c>
      <c r="C13" s="30" t="str">
        <f>'Uncertainty Analysis'!C14</f>
        <v xml:space="preserve">1st order </v>
      </c>
      <c r="D13" s="30" t="str">
        <f>'Uncertainty Analysis'!D14</f>
        <v>IoT MicroClimate sensor station (SOIL-PH)</v>
      </c>
      <c r="E13" s="40">
        <f>'Uncertainty Analysis'!O14</f>
        <v>3.1305073401360004</v>
      </c>
      <c r="F13" s="41">
        <v>-0.05</v>
      </c>
      <c r="G13" s="41">
        <v>0.05</v>
      </c>
      <c r="H13" s="54">
        <f t="shared" si="6"/>
        <v>2.9739819731292005</v>
      </c>
      <c r="I13" s="42">
        <f t="shared" si="7"/>
        <v>3.2870327071428003</v>
      </c>
      <c r="J13" s="42">
        <f>('Uncertainty Analysis'!$O$29*1000)-('Sensitivity Analysis'!$E7*$E13)+($H7*$E13)</f>
        <v>-1595.0425810120209</v>
      </c>
      <c r="K13" s="42">
        <f>('Uncertainty Analysis'!$O$29*1000)-('Sensitivity Analysis'!$E7*$E13)+($I7*$E13)</f>
        <v>-1594.7295302780074</v>
      </c>
      <c r="L13" s="43">
        <f>J13/(Calculator!$C$35)-1</f>
        <v>9.8142037453063935E-5</v>
      </c>
      <c r="M13" s="43">
        <f>K13/(Calculator!$C$35)-1</f>
        <v>-9.8142037453508024E-5</v>
      </c>
      <c r="N13" s="44" t="str">
        <f t="shared" si="8"/>
        <v>IoT MicroClimate sensor station (SOIL-PH) emission factor +5%/-5%</v>
      </c>
    </row>
    <row r="14" spans="2:15">
      <c r="B14" s="30" t="s">
        <v>208</v>
      </c>
      <c r="C14" s="30" t="str">
        <f>'Uncertainty Analysis'!C15</f>
        <v xml:space="preserve">1st order </v>
      </c>
      <c r="D14" s="30" t="str">
        <f>'Uncertainty Analysis'!D15</f>
        <v>IoT WeatherStation sensor station (AIR – WIND – RAIN – SOLAR)</v>
      </c>
      <c r="E14" s="40">
        <f>'Uncertainty Analysis'!O15</f>
        <v>5.8448485300859998</v>
      </c>
      <c r="F14" s="41">
        <v>-0.05</v>
      </c>
      <c r="G14" s="41">
        <v>0.05</v>
      </c>
      <c r="H14" s="54">
        <f t="shared" si="6"/>
        <v>5.5526061035816996</v>
      </c>
      <c r="I14" s="42">
        <f t="shared" si="7"/>
        <v>6.1370909565903</v>
      </c>
      <c r="J14" s="42">
        <f>('Uncertainty Analysis'!$O$29*1000)-('Sensitivity Analysis'!$E8*$E14)+($H8*$E14)</f>
        <v>-1595.1782980715184</v>
      </c>
      <c r="K14" s="42">
        <f>('Uncertainty Analysis'!$O$29*1000)-('Sensitivity Analysis'!$E8*$E14)+($I8*$E14)</f>
        <v>-1594.5938132185097</v>
      </c>
      <c r="L14" s="43">
        <f>J14/(Calculator!$C$35)-1</f>
        <v>1.8323718203538952E-4</v>
      </c>
      <c r="M14" s="43">
        <f>K14/(Calculator!$C$35)-1</f>
        <v>-1.8323718203594463E-4</v>
      </c>
      <c r="N14" s="44" t="str">
        <f t="shared" si="8"/>
        <v>IoT WeatherStation sensor station (AIR – WIND – RAIN – SOLAR) emission factor +5%/-5%</v>
      </c>
    </row>
    <row r="15" spans="2:15">
      <c r="B15" s="30" t="s">
        <v>208</v>
      </c>
      <c r="C15" s="30" t="str">
        <f>'Uncertainty Analysis'!C16</f>
        <v xml:space="preserve">2nd order </v>
      </c>
      <c r="D15" s="30" t="str">
        <f>'Uncertainty Analysis'!D16</f>
        <v>Water</v>
      </c>
      <c r="E15" s="40">
        <f>'Uncertainty Analysis'!O16</f>
        <v>1.5311E-4</v>
      </c>
      <c r="F15" s="41">
        <v>-0.05</v>
      </c>
      <c r="G15" s="41">
        <v>0.05</v>
      </c>
      <c r="H15" s="54">
        <f t="shared" si="6"/>
        <v>1.454545E-4</v>
      </c>
      <c r="I15" s="42">
        <f t="shared" si="7"/>
        <v>1.607655E-4</v>
      </c>
      <c r="J15" s="42">
        <f>('Uncertainty Analysis'!$O$29*1000)-('Sensitivity Analysis'!$E9*$E15)+($H9*$E15)</f>
        <v>-1594.8796888208474</v>
      </c>
      <c r="K15" s="42">
        <f>('Uncertainty Analysis'!$O$29*1000)-('Sensitivity Analysis'!$E9*$E15)+($I9*$E15)</f>
        <v>-1594.8924224691807</v>
      </c>
      <c r="L15" s="43">
        <f>J15/(Calculator!$C$35)-1</f>
        <v>-3.9920244738755883E-6</v>
      </c>
      <c r="M15" s="43">
        <f>K15/(Calculator!$C$35)-1</f>
        <v>3.9920244732094545E-6</v>
      </c>
      <c r="N15" s="44" t="str">
        <f t="shared" si="8"/>
        <v>Water emission factor +5%/-5%</v>
      </c>
    </row>
    <row r="16" spans="2:15">
      <c r="B16" s="30" t="s">
        <v>208</v>
      </c>
      <c r="C16" s="30" t="str">
        <f>'Uncertainty Analysis'!C17</f>
        <v xml:space="preserve">2nd order </v>
      </c>
      <c r="D16" s="30" t="str">
        <f>'Uncertainty Analysis'!D17</f>
        <v xml:space="preserve">Diesel </v>
      </c>
      <c r="E16" s="40">
        <f>'Uncertainty Analysis'!O17</f>
        <v>2.6350992505124999</v>
      </c>
      <c r="F16" s="41">
        <v>-0.05</v>
      </c>
      <c r="G16" s="41">
        <v>0.05</v>
      </c>
      <c r="H16" s="54">
        <f t="shared" si="6"/>
        <v>2.503344287986875</v>
      </c>
      <c r="I16" s="42">
        <f t="shared" si="7"/>
        <v>2.7668542130381248</v>
      </c>
      <c r="J16" s="42">
        <f>('Uncertainty Analysis'!$O$29*1000)-('Sensitivity Analysis'!$E10*$E16)+($H10*$E16)</f>
        <v>-1540.3395011594052</v>
      </c>
      <c r="K16" s="42">
        <f>('Uncertainty Analysis'!$O$29*1000)-('Sensitivity Analysis'!$E10*$E16)+($I10*$E16)</f>
        <v>-1649.4326101306228</v>
      </c>
      <c r="L16" s="43">
        <f>J16/(Calculator!$C$35)-1</f>
        <v>-3.4200910022722075E-2</v>
      </c>
      <c r="M16" s="43">
        <f>K16/(Calculator!$C$35)-1</f>
        <v>3.4200910022721409E-2</v>
      </c>
      <c r="N16" s="44" t="str">
        <f t="shared" si="8"/>
        <v>Diesel  emission factor +5%/-5%</v>
      </c>
    </row>
    <row r="17" spans="2:14">
      <c r="B17" s="30" t="s">
        <v>208</v>
      </c>
      <c r="C17" s="30" t="str">
        <f>'Uncertainty Analysis'!C18</f>
        <v xml:space="preserve">2nd order </v>
      </c>
      <c r="D17" s="30" t="str">
        <f>'Uncertainty Analysis'!D18</f>
        <v xml:space="preserve">Electricity </v>
      </c>
      <c r="E17" s="40">
        <f>'Uncertainty Analysis'!O18</f>
        <v>0.32200000000000001</v>
      </c>
      <c r="F17" s="41">
        <v>-0.05</v>
      </c>
      <c r="G17" s="41">
        <v>0.05</v>
      </c>
      <c r="H17" s="54">
        <f t="shared" si="6"/>
        <v>0.30590000000000001</v>
      </c>
      <c r="I17" s="42">
        <f t="shared" si="7"/>
        <v>0.33810000000000001</v>
      </c>
      <c r="J17" s="42">
        <f>('Uncertainty Analysis'!$O$29*1000)-('Sensitivity Analysis'!$E11*$E17)+($H11*$E17)</f>
        <v>-1568.9328556450141</v>
      </c>
      <c r="K17" s="42">
        <f>('Uncertainty Analysis'!$O$29*1000)-('Sensitivity Analysis'!$E11*$E17)+($I11*$E17)</f>
        <v>-1620.8392556450142</v>
      </c>
      <c r="L17" s="43">
        <f>J17/(Calculator!$C$35)-1</f>
        <v>-1.627276124720034E-2</v>
      </c>
      <c r="M17" s="43">
        <f>K17/(Calculator!$C$35)-1</f>
        <v>1.6272761247200007E-2</v>
      </c>
      <c r="N17" s="44" t="str">
        <f t="shared" si="8"/>
        <v>Electricity  emission factor +5%/-5%</v>
      </c>
    </row>
    <row r="18" spans="2:14" ht="84.6" customHeight="1">
      <c r="C18" s="56"/>
      <c r="F18" s="255"/>
      <c r="G18" s="255"/>
      <c r="J18" s="56"/>
      <c r="K18" s="37"/>
      <c r="L18" s="56"/>
      <c r="M18" s="56"/>
    </row>
  </sheetData>
  <mergeCells count="1">
    <mergeCell ref="F18:G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6483C-5EE4-47F4-A7A8-A1E653569C65}">
  <dimension ref="A1:V52"/>
  <sheetViews>
    <sheetView topLeftCell="B13" workbookViewId="0">
      <selection activeCell="H29" sqref="H29"/>
    </sheetView>
  </sheetViews>
  <sheetFormatPr defaultColWidth="10.375" defaultRowHeight="14.25" customHeight="1"/>
  <cols>
    <col min="1" max="1" width="10.375" style="180"/>
    <col min="2" max="2" width="68.75" style="179" customWidth="1"/>
    <col min="3" max="3" width="15.375" style="179" customWidth="1"/>
    <col min="4" max="4" width="19.75" style="179" customWidth="1"/>
    <col min="5" max="5" width="63" style="179" customWidth="1"/>
    <col min="6" max="6" width="52.75" style="179" customWidth="1"/>
    <col min="7" max="7" width="16.625" style="179" customWidth="1"/>
    <col min="8" max="8" width="10.375" style="179"/>
    <col min="9" max="9" width="18.125" style="179" customWidth="1"/>
    <col min="10" max="10" width="10.375" style="179"/>
    <col min="11" max="21" width="10.375" style="180"/>
    <col min="22" max="22" width="10.375" style="191"/>
    <col min="23" max="16384" width="10.375" style="192"/>
  </cols>
  <sheetData>
    <row r="1" spans="2:21" s="180" customFormat="1" ht="14.25" customHeight="1">
      <c r="B1" s="179"/>
      <c r="C1" s="179"/>
      <c r="D1" s="179"/>
      <c r="E1" s="179"/>
      <c r="F1" s="179"/>
      <c r="G1" s="179"/>
      <c r="H1" s="179"/>
      <c r="I1" s="179"/>
      <c r="J1" s="179"/>
    </row>
    <row r="2" spans="2:21" s="180" customFormat="1" ht="21" customHeight="1">
      <c r="B2" s="76" t="s">
        <v>209</v>
      </c>
      <c r="C2" s="179"/>
      <c r="D2" s="179"/>
      <c r="E2" s="179"/>
      <c r="F2" s="179"/>
      <c r="G2" s="179"/>
      <c r="H2" s="179"/>
      <c r="I2" s="179"/>
      <c r="J2" s="179"/>
    </row>
    <row r="3" spans="2:21" s="180" customFormat="1" ht="21.6" customHeight="1">
      <c r="B3" s="77" t="s">
        <v>210</v>
      </c>
      <c r="C3" s="179"/>
      <c r="D3" s="179"/>
    </row>
    <row r="4" spans="2:21" s="180" customFormat="1" ht="22.5" customHeight="1">
      <c r="B4" s="69" t="s">
        <v>57</v>
      </c>
      <c r="C4" s="179"/>
      <c r="D4" s="179"/>
      <c r="E4" s="179"/>
      <c r="F4" s="179"/>
      <c r="G4" s="179"/>
      <c r="H4" s="179"/>
      <c r="I4" s="179"/>
      <c r="J4" s="179"/>
    </row>
    <row r="5" spans="2:21" s="180" customFormat="1" ht="14.25" customHeight="1">
      <c r="B5" s="179"/>
      <c r="C5" s="179"/>
      <c r="D5" s="179"/>
      <c r="E5" s="179"/>
      <c r="F5" s="179"/>
      <c r="G5" s="179"/>
      <c r="H5" s="179"/>
      <c r="I5" s="179"/>
      <c r="J5" s="179"/>
    </row>
    <row r="6" spans="2:21" s="180" customFormat="1" ht="19.5">
      <c r="B6" s="176" t="s">
        <v>211</v>
      </c>
      <c r="C6" s="176" t="s">
        <v>212</v>
      </c>
      <c r="D6" s="176" t="s">
        <v>213</v>
      </c>
      <c r="E6" s="177" t="s">
        <v>214</v>
      </c>
      <c r="F6" s="178" t="s">
        <v>215</v>
      </c>
      <c r="G6" s="178" t="s">
        <v>216</v>
      </c>
      <c r="H6" s="178" t="s">
        <v>217</v>
      </c>
      <c r="I6" s="178" t="s">
        <v>165</v>
      </c>
      <c r="J6" s="178" t="s">
        <v>218</v>
      </c>
      <c r="K6" s="178"/>
      <c r="L6" s="178"/>
      <c r="P6" s="256"/>
      <c r="Q6" s="256"/>
      <c r="R6" s="256"/>
    </row>
    <row r="7" spans="2:21" s="184" customFormat="1" ht="18" customHeight="1">
      <c r="B7" s="181" t="s">
        <v>96</v>
      </c>
      <c r="C7" s="182">
        <v>2</v>
      </c>
      <c r="D7" s="182"/>
      <c r="E7" s="182"/>
      <c r="F7" s="238">
        <v>0.02</v>
      </c>
      <c r="G7" s="183"/>
      <c r="H7" s="183"/>
      <c r="I7" s="183"/>
      <c r="J7" s="179"/>
      <c r="K7" s="180"/>
      <c r="L7" s="180"/>
      <c r="M7" s="180"/>
      <c r="N7" s="180"/>
      <c r="O7" s="180"/>
      <c r="P7" s="180"/>
      <c r="Q7" s="180"/>
      <c r="R7" s="180"/>
      <c r="S7" s="180"/>
      <c r="T7" s="180"/>
      <c r="U7" s="180"/>
    </row>
    <row r="8" spans="2:21" s="184" customFormat="1" ht="74.650000000000006" customHeight="1">
      <c r="B8" s="185" t="s">
        <v>219</v>
      </c>
      <c r="C8" s="182">
        <v>1</v>
      </c>
      <c r="D8" s="182" t="s">
        <v>220</v>
      </c>
      <c r="E8" s="186" t="s">
        <v>221</v>
      </c>
      <c r="F8" s="201">
        <v>1.2</v>
      </c>
      <c r="G8" s="203">
        <f>F8*C8</f>
        <v>1.2</v>
      </c>
      <c r="H8" s="203">
        <f>'Emission Factors'!D19</f>
        <v>5.6479456300000006</v>
      </c>
      <c r="I8" s="203">
        <f>H8*G8</f>
        <v>6.7775347560000005</v>
      </c>
      <c r="J8" s="179"/>
      <c r="K8" s="180"/>
      <c r="L8" s="180"/>
      <c r="M8" s="180"/>
      <c r="N8" s="180"/>
      <c r="O8" s="180"/>
      <c r="P8" s="180"/>
      <c r="Q8" s="180"/>
      <c r="R8" s="180"/>
      <c r="S8" s="180"/>
      <c r="T8" s="180"/>
      <c r="U8" s="180"/>
    </row>
    <row r="9" spans="2:21" s="184" customFormat="1" ht="19.5">
      <c r="B9" s="182" t="s">
        <v>222</v>
      </c>
      <c r="C9" s="182">
        <v>1</v>
      </c>
      <c r="D9" s="182" t="s">
        <v>223</v>
      </c>
      <c r="E9" s="182" t="s">
        <v>224</v>
      </c>
      <c r="F9" s="201">
        <v>0.6</v>
      </c>
      <c r="G9" s="203">
        <f t="shared" ref="G9:G11" si="0">F9*C9</f>
        <v>0.6</v>
      </c>
      <c r="H9" s="203">
        <f>'Emission Factors'!$D$21</f>
        <v>3.17249932</v>
      </c>
      <c r="I9" s="203">
        <f t="shared" ref="I9:I12" si="1">H9*G9</f>
        <v>1.903499592</v>
      </c>
      <c r="J9" s="179"/>
      <c r="K9" s="180"/>
      <c r="L9" s="197"/>
      <c r="M9" s="180"/>
      <c r="N9" s="180"/>
      <c r="O9" s="180"/>
      <c r="P9" s="180"/>
      <c r="Q9" s="180"/>
      <c r="R9" s="180"/>
      <c r="S9" s="180"/>
      <c r="T9" s="180"/>
      <c r="U9" s="180"/>
    </row>
    <row r="10" spans="2:21" s="184" customFormat="1" ht="19.5">
      <c r="B10" s="182" t="s">
        <v>225</v>
      </c>
      <c r="C10" s="182">
        <v>1</v>
      </c>
      <c r="D10" s="182" t="s">
        <v>226</v>
      </c>
      <c r="E10" s="182" t="s">
        <v>227</v>
      </c>
      <c r="F10" s="201">
        <v>3.6</v>
      </c>
      <c r="G10" s="203">
        <f t="shared" si="0"/>
        <v>3.6</v>
      </c>
      <c r="H10" s="203">
        <f>'Emission Factors'!$D$22</f>
        <v>5.1418858700000003</v>
      </c>
      <c r="I10" s="203">
        <f t="shared" si="1"/>
        <v>18.510789132000003</v>
      </c>
      <c r="J10" s="179"/>
      <c r="K10" s="180"/>
      <c r="L10" s="180"/>
      <c r="M10" s="180"/>
      <c r="N10" s="180"/>
      <c r="O10" s="180"/>
      <c r="P10" s="180"/>
      <c r="Q10" s="180"/>
      <c r="R10" s="180"/>
      <c r="S10" s="180"/>
      <c r="T10" s="180"/>
      <c r="U10" s="180"/>
    </row>
    <row r="11" spans="2:21" s="184" customFormat="1" ht="19.5">
      <c r="B11" s="182" t="s">
        <v>228</v>
      </c>
      <c r="C11" s="182">
        <v>1</v>
      </c>
      <c r="D11" s="182" t="s">
        <v>229</v>
      </c>
      <c r="E11" s="182" t="s">
        <v>230</v>
      </c>
      <c r="F11" s="201">
        <v>0.6</v>
      </c>
      <c r="G11" s="203">
        <f t="shared" si="0"/>
        <v>0.6</v>
      </c>
      <c r="H11" s="203">
        <f>'Emission Factors'!$D$21</f>
        <v>3.17249932</v>
      </c>
      <c r="I11" s="203">
        <f t="shared" si="1"/>
        <v>1.903499592</v>
      </c>
      <c r="J11" s="179"/>
      <c r="K11" s="180"/>
      <c r="L11" s="180"/>
      <c r="M11" s="180"/>
      <c r="N11" s="180"/>
      <c r="O11" s="180"/>
      <c r="P11" s="180"/>
      <c r="Q11" s="180"/>
      <c r="R11" s="180"/>
      <c r="S11" s="180"/>
      <c r="T11" s="180"/>
      <c r="U11" s="180"/>
    </row>
    <row r="12" spans="2:21" s="184" customFormat="1" ht="19.5">
      <c r="B12" s="182" t="s">
        <v>231</v>
      </c>
      <c r="C12" s="182">
        <v>1</v>
      </c>
      <c r="D12" s="182" t="s">
        <v>229</v>
      </c>
      <c r="E12" s="182" t="s">
        <v>230</v>
      </c>
      <c r="F12" s="201">
        <v>0.6</v>
      </c>
      <c r="G12" s="203">
        <f>F12*C12</f>
        <v>0.6</v>
      </c>
      <c r="H12" s="203">
        <f>'Emission Factors'!$D$21</f>
        <v>3.17249932</v>
      </c>
      <c r="I12" s="203">
        <f t="shared" si="1"/>
        <v>1.903499592</v>
      </c>
      <c r="J12" s="179"/>
      <c r="K12" s="180"/>
      <c r="L12" s="180"/>
      <c r="M12" s="180"/>
      <c r="N12" s="180"/>
      <c r="O12" s="180"/>
      <c r="P12" s="180"/>
      <c r="Q12" s="180"/>
      <c r="R12" s="180"/>
      <c r="S12" s="180"/>
      <c r="T12" s="180"/>
      <c r="U12" s="180"/>
    </row>
    <row r="13" spans="2:21" s="184" customFormat="1" ht="19.5">
      <c r="B13" s="182" t="s">
        <v>232</v>
      </c>
      <c r="C13" s="182">
        <v>2</v>
      </c>
      <c r="D13" s="182"/>
      <c r="E13" s="182" t="s">
        <v>233</v>
      </c>
      <c r="F13" s="239">
        <v>0.02</v>
      </c>
      <c r="G13" s="203">
        <f>F13*C13</f>
        <v>0.04</v>
      </c>
      <c r="H13" s="203">
        <f>'Emission Factors'!$D$20</f>
        <v>6.3079999999999998</v>
      </c>
      <c r="I13" s="203">
        <f>G13*H13</f>
        <v>0.25231999999999999</v>
      </c>
      <c r="J13" s="179"/>
      <c r="K13" s="180"/>
      <c r="L13" s="180"/>
      <c r="M13" s="180"/>
      <c r="N13" s="180"/>
      <c r="O13" s="180"/>
      <c r="P13" s="180"/>
      <c r="Q13" s="180"/>
      <c r="R13" s="180"/>
      <c r="S13" s="180"/>
      <c r="T13" s="180"/>
      <c r="U13" s="180"/>
    </row>
    <row r="14" spans="2:21" s="184" customFormat="1" ht="19.5">
      <c r="B14" s="182" t="s">
        <v>234</v>
      </c>
      <c r="C14" s="182"/>
      <c r="D14" s="182"/>
      <c r="E14" s="182"/>
      <c r="F14" s="201"/>
      <c r="G14" s="203"/>
      <c r="H14" s="203"/>
      <c r="I14" s="203">
        <f>G15*'Emission Factors'!$G$26</f>
        <v>5.3930737360000001E-2</v>
      </c>
      <c r="J14" s="179"/>
      <c r="K14" s="180"/>
      <c r="L14" s="180"/>
      <c r="M14" s="180"/>
      <c r="N14" s="180"/>
      <c r="O14" s="180"/>
      <c r="P14" s="180"/>
      <c r="Q14" s="180"/>
      <c r="R14" s="180"/>
      <c r="S14" s="180"/>
      <c r="T14" s="180"/>
      <c r="U14" s="180"/>
    </row>
    <row r="15" spans="2:21" s="184" customFormat="1" ht="19.5">
      <c r="B15" s="188" t="s">
        <v>235</v>
      </c>
      <c r="C15" s="182"/>
      <c r="D15" s="182"/>
      <c r="E15" s="182"/>
      <c r="F15" s="182"/>
      <c r="G15" s="205">
        <f>SUM(G8:G13)</f>
        <v>6.64</v>
      </c>
      <c r="H15" s="206"/>
      <c r="I15" s="205">
        <f>SUM(I8:I14)</f>
        <v>31.305073401360005</v>
      </c>
      <c r="J15" s="179"/>
      <c r="K15" s="180"/>
      <c r="L15" s="180"/>
      <c r="M15" s="180"/>
      <c r="N15" s="180"/>
      <c r="O15" s="180"/>
      <c r="P15" s="180"/>
      <c r="Q15" s="180"/>
      <c r="R15" s="180"/>
      <c r="S15" s="180"/>
      <c r="T15" s="180"/>
      <c r="U15" s="180"/>
    </row>
    <row r="16" spans="2:21" s="184" customFormat="1" ht="19.5">
      <c r="B16" s="188" t="s">
        <v>236</v>
      </c>
      <c r="C16" s="182"/>
      <c r="D16" s="182"/>
      <c r="E16" s="182"/>
      <c r="F16" s="182"/>
      <c r="G16" s="205"/>
      <c r="H16" s="234"/>
      <c r="I16" s="205">
        <f>I15/$D$45</f>
        <v>3.1305073401360004</v>
      </c>
      <c r="J16" s="179"/>
      <c r="K16" s="180"/>
      <c r="L16" s="180"/>
      <c r="M16" s="180"/>
      <c r="N16" s="180"/>
      <c r="O16" s="180"/>
      <c r="P16" s="180"/>
      <c r="Q16" s="180"/>
      <c r="R16" s="180"/>
      <c r="S16" s="180"/>
      <c r="T16" s="180"/>
      <c r="U16" s="180"/>
    </row>
    <row r="17" spans="2:21" s="184" customFormat="1" ht="19.5">
      <c r="B17" s="179"/>
      <c r="C17" s="179"/>
      <c r="D17" s="179"/>
      <c r="E17" s="179"/>
      <c r="F17" s="179"/>
      <c r="G17" s="179"/>
      <c r="H17" s="179"/>
      <c r="I17" s="189"/>
      <c r="J17" s="179"/>
      <c r="K17" s="180"/>
      <c r="L17" s="180"/>
      <c r="M17" s="180"/>
      <c r="N17" s="180"/>
      <c r="O17" s="180"/>
      <c r="P17" s="180"/>
      <c r="Q17" s="180"/>
      <c r="R17" s="180"/>
      <c r="S17" s="180"/>
      <c r="T17" s="180"/>
      <c r="U17" s="180"/>
    </row>
    <row r="18" spans="2:21" s="184" customFormat="1" ht="19.5">
      <c r="B18" s="188" t="s">
        <v>98</v>
      </c>
      <c r="C18" s="182">
        <v>1</v>
      </c>
      <c r="D18" s="182"/>
      <c r="E18" s="182"/>
      <c r="F18" s="182"/>
      <c r="G18" s="182"/>
      <c r="H18" s="182"/>
      <c r="I18" s="187"/>
      <c r="J18" s="179"/>
      <c r="K18" s="180"/>
      <c r="L18" s="180"/>
      <c r="M18" s="180"/>
      <c r="N18" s="180"/>
      <c r="O18" s="180"/>
      <c r="P18" s="180"/>
      <c r="Q18" s="180"/>
      <c r="R18" s="180"/>
      <c r="S18" s="180"/>
      <c r="T18" s="180"/>
      <c r="U18" s="180"/>
    </row>
    <row r="19" spans="2:21" s="184" customFormat="1" ht="97.5">
      <c r="B19" s="185" t="s">
        <v>219</v>
      </c>
      <c r="C19" s="182">
        <v>1</v>
      </c>
      <c r="D19" s="182" t="s">
        <v>220</v>
      </c>
      <c r="E19" s="186" t="s">
        <v>221</v>
      </c>
      <c r="F19" s="200">
        <v>1.2</v>
      </c>
      <c r="G19" s="203">
        <f>F19*C19</f>
        <v>1.2</v>
      </c>
      <c r="H19" s="203">
        <f>'Emission Factors'!D19</f>
        <v>5.6479456300000006</v>
      </c>
      <c r="I19" s="203">
        <f t="shared" ref="I19:I37" si="2">H19*G19</f>
        <v>6.7775347560000005</v>
      </c>
      <c r="J19" s="179"/>
      <c r="K19" s="180"/>
      <c r="L19" s="180"/>
      <c r="M19" s="180"/>
      <c r="N19" s="180"/>
      <c r="O19" s="180"/>
      <c r="P19" s="180"/>
      <c r="Q19" s="180"/>
      <c r="R19" s="180"/>
      <c r="S19" s="180"/>
      <c r="T19" s="180"/>
      <c r="U19" s="180"/>
    </row>
    <row r="20" spans="2:21" s="184" customFormat="1" ht="19.5">
      <c r="B20" s="182" t="s">
        <v>222</v>
      </c>
      <c r="C20" s="182">
        <v>1</v>
      </c>
      <c r="D20" s="182" t="s">
        <v>223</v>
      </c>
      <c r="E20" s="182" t="s">
        <v>224</v>
      </c>
      <c r="F20" s="200">
        <v>0.6</v>
      </c>
      <c r="G20" s="203">
        <f t="shared" ref="G20:G23" si="3">F20*C20</f>
        <v>0.6</v>
      </c>
      <c r="H20" s="203">
        <f>'Emission Factors'!$D$21</f>
        <v>3.17249932</v>
      </c>
      <c r="I20" s="203">
        <f t="shared" si="2"/>
        <v>1.903499592</v>
      </c>
      <c r="J20" s="179"/>
      <c r="K20" s="180"/>
      <c r="L20" s="180"/>
      <c r="M20" s="180"/>
      <c r="N20" s="180"/>
      <c r="O20" s="180"/>
      <c r="P20" s="180"/>
      <c r="Q20" s="180"/>
      <c r="R20" s="180"/>
      <c r="S20" s="180"/>
      <c r="T20" s="180"/>
      <c r="U20" s="180"/>
    </row>
    <row r="21" spans="2:21" s="184" customFormat="1" ht="19.5">
      <c r="B21" s="182" t="s">
        <v>225</v>
      </c>
      <c r="C21" s="182">
        <v>1</v>
      </c>
      <c r="D21" s="182" t="s">
        <v>226</v>
      </c>
      <c r="E21" s="182" t="s">
        <v>227</v>
      </c>
      <c r="F21" s="200">
        <v>3.6</v>
      </c>
      <c r="G21" s="203">
        <f t="shared" si="3"/>
        <v>3.6</v>
      </c>
      <c r="H21" s="203">
        <f>'Emission Factors'!$D$22</f>
        <v>5.1418858700000003</v>
      </c>
      <c r="I21" s="203">
        <f t="shared" si="2"/>
        <v>18.510789132000003</v>
      </c>
      <c r="J21" s="179"/>
      <c r="K21" s="180"/>
      <c r="L21" s="180"/>
      <c r="M21" s="180"/>
      <c r="N21" s="180"/>
      <c r="O21" s="180"/>
      <c r="P21" s="180"/>
      <c r="Q21" s="180"/>
      <c r="R21" s="180"/>
      <c r="S21" s="180"/>
      <c r="T21" s="180"/>
      <c r="U21" s="180"/>
    </row>
    <row r="22" spans="2:21" s="184" customFormat="1" ht="19.5">
      <c r="B22" s="182" t="s">
        <v>228</v>
      </c>
      <c r="C22" s="182">
        <v>1</v>
      </c>
      <c r="D22" s="182" t="s">
        <v>229</v>
      </c>
      <c r="E22" s="182" t="s">
        <v>230</v>
      </c>
      <c r="F22" s="200">
        <v>0.6</v>
      </c>
      <c r="G22" s="203">
        <f t="shared" si="3"/>
        <v>0.6</v>
      </c>
      <c r="H22" s="203">
        <f>'Emission Factors'!$D$21</f>
        <v>3.17249932</v>
      </c>
      <c r="I22" s="203">
        <f t="shared" si="2"/>
        <v>1.903499592</v>
      </c>
      <c r="J22" s="179"/>
      <c r="K22" s="180"/>
      <c r="L22" s="198"/>
      <c r="M22" s="180"/>
      <c r="N22" s="180"/>
      <c r="O22" s="180"/>
      <c r="P22" s="180"/>
      <c r="Q22" s="180"/>
      <c r="R22" s="180"/>
      <c r="S22" s="180"/>
      <c r="T22" s="180"/>
      <c r="U22" s="180"/>
    </row>
    <row r="23" spans="2:21" s="184" customFormat="1" ht="19.5">
      <c r="B23" s="182" t="s">
        <v>237</v>
      </c>
      <c r="C23" s="182">
        <v>1</v>
      </c>
      <c r="D23" s="182" t="s">
        <v>229</v>
      </c>
      <c r="E23" s="182" t="s">
        <v>230</v>
      </c>
      <c r="F23" s="200">
        <v>0.6</v>
      </c>
      <c r="G23" s="203">
        <f t="shared" si="3"/>
        <v>0.6</v>
      </c>
      <c r="H23" s="203">
        <f>'Emission Factors'!$D$21</f>
        <v>3.17249932</v>
      </c>
      <c r="I23" s="203">
        <f t="shared" si="2"/>
        <v>1.903499592</v>
      </c>
      <c r="J23" s="179"/>
      <c r="K23" s="180"/>
      <c r="L23" s="197"/>
      <c r="M23" s="180"/>
      <c r="N23" s="180"/>
      <c r="O23" s="180"/>
      <c r="P23" s="180"/>
      <c r="Q23" s="180"/>
      <c r="R23" s="180"/>
      <c r="S23" s="180"/>
      <c r="T23" s="180"/>
      <c r="U23" s="180"/>
    </row>
    <row r="24" spans="2:21" s="184" customFormat="1" ht="19.5">
      <c r="B24" s="182" t="s">
        <v>232</v>
      </c>
      <c r="C24" s="182">
        <v>2</v>
      </c>
      <c r="D24" s="182"/>
      <c r="E24" s="182" t="s">
        <v>233</v>
      </c>
      <c r="F24" s="239">
        <v>0.02</v>
      </c>
      <c r="G24" s="203">
        <f>F24*C24</f>
        <v>0.04</v>
      </c>
      <c r="H24" s="203">
        <f>'Emission Factors'!$D$20</f>
        <v>6.3079999999999998</v>
      </c>
      <c r="I24" s="203">
        <f>G24*H24</f>
        <v>0.25231999999999999</v>
      </c>
      <c r="J24" s="179"/>
      <c r="K24" s="180"/>
      <c r="L24" s="197"/>
      <c r="M24" s="180"/>
      <c r="N24" s="180"/>
      <c r="O24" s="180"/>
      <c r="P24" s="180"/>
      <c r="Q24" s="180"/>
      <c r="R24" s="180"/>
      <c r="S24" s="180"/>
      <c r="T24" s="180"/>
      <c r="U24" s="180"/>
    </row>
    <row r="25" spans="2:21" s="184" customFormat="1" ht="19.5">
      <c r="B25" s="182" t="s">
        <v>234</v>
      </c>
      <c r="C25" s="182"/>
      <c r="D25" s="182"/>
      <c r="E25" s="182"/>
      <c r="F25" s="201"/>
      <c r="G25" s="203"/>
      <c r="H25" s="203"/>
      <c r="I25" s="203">
        <f>G26*'Emission Factors'!$G$26</f>
        <v>5.3930737360000001E-2</v>
      </c>
      <c r="J25" s="179"/>
      <c r="K25" s="180"/>
      <c r="L25" s="197"/>
      <c r="M25" s="180"/>
      <c r="N25" s="180"/>
      <c r="O25" s="180"/>
      <c r="P25" s="180"/>
      <c r="Q25" s="180"/>
      <c r="R25" s="180"/>
      <c r="S25" s="180"/>
      <c r="T25" s="180"/>
      <c r="U25" s="180"/>
    </row>
    <row r="26" spans="2:21" s="184" customFormat="1" ht="19.5">
      <c r="B26" s="188" t="s">
        <v>235</v>
      </c>
      <c r="C26" s="182"/>
      <c r="D26" s="182"/>
      <c r="E26" s="182"/>
      <c r="F26" s="182"/>
      <c r="G26" s="205">
        <f>SUM(G19:G24)</f>
        <v>6.64</v>
      </c>
      <c r="H26" s="206"/>
      <c r="I26" s="205">
        <f>(SUM(I19:I25))</f>
        <v>31.305073401360005</v>
      </c>
      <c r="J26" s="179"/>
      <c r="K26" s="180"/>
      <c r="L26" s="180"/>
      <c r="M26" s="180"/>
      <c r="N26" s="180"/>
      <c r="O26" s="180"/>
      <c r="P26" s="180"/>
      <c r="Q26" s="180"/>
      <c r="R26" s="180"/>
      <c r="S26" s="180"/>
      <c r="T26" s="180"/>
      <c r="U26" s="180"/>
    </row>
    <row r="27" spans="2:21" s="184" customFormat="1" ht="19.5">
      <c r="B27" s="188" t="s">
        <v>236</v>
      </c>
      <c r="C27" s="182"/>
      <c r="D27" s="182"/>
      <c r="E27" s="182"/>
      <c r="F27" s="182"/>
      <c r="G27" s="205"/>
      <c r="H27" s="234"/>
      <c r="I27" s="205">
        <f>I26/$D$45</f>
        <v>3.1305073401360004</v>
      </c>
      <c r="J27" s="179"/>
      <c r="K27" s="180"/>
      <c r="L27" s="180"/>
      <c r="M27" s="180"/>
      <c r="N27" s="180"/>
      <c r="O27" s="180"/>
      <c r="P27" s="180"/>
      <c r="Q27" s="180"/>
      <c r="R27" s="180"/>
      <c r="S27" s="180"/>
      <c r="T27" s="180"/>
      <c r="U27" s="180"/>
    </row>
    <row r="28" spans="2:21" s="184" customFormat="1" ht="19.5">
      <c r="B28" s="190"/>
      <c r="C28" s="179"/>
      <c r="D28" s="179"/>
      <c r="E28" s="179"/>
      <c r="F28" s="179"/>
      <c r="G28" s="179"/>
      <c r="H28" s="179"/>
      <c r="I28" s="189"/>
      <c r="J28" s="179"/>
      <c r="K28" s="180"/>
      <c r="L28" s="180"/>
      <c r="M28" s="180"/>
      <c r="N28" s="180"/>
      <c r="O28" s="180"/>
      <c r="P28" s="180"/>
      <c r="Q28" s="180"/>
      <c r="R28" s="180"/>
      <c r="S28" s="180"/>
      <c r="T28" s="180"/>
      <c r="U28" s="180"/>
    </row>
    <row r="29" spans="2:21" s="184" customFormat="1" ht="19.5">
      <c r="B29" s="188" t="s">
        <v>101</v>
      </c>
      <c r="C29" s="182">
        <v>1</v>
      </c>
      <c r="D29" s="182"/>
      <c r="E29" s="182"/>
      <c r="F29" s="182"/>
      <c r="G29" s="182"/>
      <c r="H29" s="182"/>
      <c r="I29" s="187"/>
      <c r="J29" s="179"/>
      <c r="K29" s="180"/>
      <c r="L29" s="180"/>
      <c r="M29" s="180"/>
      <c r="N29" s="180"/>
      <c r="O29" s="180"/>
      <c r="P29" s="180"/>
      <c r="Q29" s="180"/>
      <c r="R29" s="180"/>
      <c r="S29" s="180"/>
      <c r="T29" s="180"/>
      <c r="U29" s="180"/>
    </row>
    <row r="30" spans="2:21" s="184" customFormat="1" ht="97.5">
      <c r="B30" s="185" t="s">
        <v>219</v>
      </c>
      <c r="C30" s="182">
        <v>1</v>
      </c>
      <c r="D30" s="182" t="s">
        <v>220</v>
      </c>
      <c r="E30" s="186" t="s">
        <v>221</v>
      </c>
      <c r="F30" s="200">
        <v>1.2</v>
      </c>
      <c r="G30" s="203">
        <f>F30*C30</f>
        <v>1.2</v>
      </c>
      <c r="H30" s="203">
        <f>'Emission Factors'!D19</f>
        <v>5.6479456300000006</v>
      </c>
      <c r="I30" s="203">
        <f t="shared" si="2"/>
        <v>6.7775347560000005</v>
      </c>
      <c r="J30" s="179"/>
      <c r="K30" s="180"/>
      <c r="L30" s="180"/>
      <c r="M30" s="180"/>
      <c r="N30" s="180"/>
      <c r="O30" s="180"/>
      <c r="P30" s="180"/>
      <c r="Q30" s="180"/>
      <c r="R30" s="180"/>
      <c r="S30" s="180"/>
      <c r="T30" s="180"/>
      <c r="U30" s="180"/>
    </row>
    <row r="31" spans="2:21" s="184" customFormat="1" ht="19.5">
      <c r="B31" s="182" t="s">
        <v>222</v>
      </c>
      <c r="C31" s="182">
        <v>1</v>
      </c>
      <c r="D31" s="182" t="s">
        <v>223</v>
      </c>
      <c r="E31" s="182" t="s">
        <v>224</v>
      </c>
      <c r="F31" s="200">
        <v>0.6</v>
      </c>
      <c r="G31" s="202">
        <f t="shared" ref="G31:G37" si="4">F31*C31</f>
        <v>0.6</v>
      </c>
      <c r="H31" s="202">
        <f>'Emission Factors'!$D$21</f>
        <v>3.17249932</v>
      </c>
      <c r="I31" s="202">
        <f t="shared" si="2"/>
        <v>1.903499592</v>
      </c>
      <c r="J31" s="179"/>
      <c r="K31" s="180"/>
      <c r="L31" s="180"/>
      <c r="M31" s="180"/>
      <c r="N31" s="180"/>
      <c r="O31" s="180"/>
      <c r="P31" s="180"/>
      <c r="Q31" s="180"/>
      <c r="R31" s="180"/>
      <c r="S31" s="180"/>
      <c r="T31" s="180"/>
      <c r="U31" s="180"/>
    </row>
    <row r="32" spans="2:21" s="184" customFormat="1" ht="19.5">
      <c r="B32" s="182" t="s">
        <v>225</v>
      </c>
      <c r="C32" s="182">
        <v>1</v>
      </c>
      <c r="D32" s="182" t="s">
        <v>226</v>
      </c>
      <c r="E32" s="182" t="s">
        <v>227</v>
      </c>
      <c r="F32" s="200">
        <v>7.6</v>
      </c>
      <c r="G32" s="202">
        <f t="shared" si="4"/>
        <v>7.6</v>
      </c>
      <c r="H32" s="202">
        <f>'Emission Factors'!$D$22</f>
        <v>5.1418858700000003</v>
      </c>
      <c r="I32" s="202">
        <f t="shared" si="2"/>
        <v>39.078332611999997</v>
      </c>
      <c r="J32" s="179"/>
      <c r="K32" s="180"/>
      <c r="L32" s="180"/>
      <c r="M32" s="180"/>
      <c r="N32" s="180"/>
      <c r="O32" s="180"/>
      <c r="P32" s="180"/>
      <c r="Q32" s="180"/>
      <c r="R32" s="180"/>
      <c r="S32" s="180"/>
      <c r="T32" s="180"/>
      <c r="U32" s="180"/>
    </row>
    <row r="33" spans="1:21" s="184" customFormat="1" ht="19.5">
      <c r="B33" s="182" t="s">
        <v>228</v>
      </c>
      <c r="C33" s="182">
        <v>1</v>
      </c>
      <c r="D33" s="182" t="s">
        <v>238</v>
      </c>
      <c r="E33" s="182" t="s">
        <v>230</v>
      </c>
      <c r="F33" s="200">
        <v>0.3</v>
      </c>
      <c r="G33" s="202">
        <f t="shared" si="4"/>
        <v>0.3</v>
      </c>
      <c r="H33" s="202">
        <f>'Emission Factors'!$D$21</f>
        <v>3.17249932</v>
      </c>
      <c r="I33" s="202">
        <f t="shared" si="2"/>
        <v>0.95174979599999998</v>
      </c>
      <c r="J33" s="179"/>
      <c r="K33" s="180"/>
      <c r="L33" s="180"/>
      <c r="M33" s="180"/>
      <c r="N33" s="180"/>
      <c r="O33" s="180"/>
      <c r="P33" s="180"/>
      <c r="Q33" s="180"/>
      <c r="R33" s="180"/>
      <c r="S33" s="180"/>
      <c r="T33" s="180"/>
      <c r="U33" s="180"/>
    </row>
    <row r="34" spans="1:21" s="184" customFormat="1" ht="19.5">
      <c r="B34" s="182" t="s">
        <v>231</v>
      </c>
      <c r="C34" s="182">
        <v>1</v>
      </c>
      <c r="D34" s="182" t="s">
        <v>238</v>
      </c>
      <c r="E34" s="182" t="s">
        <v>230</v>
      </c>
      <c r="F34" s="200">
        <v>0.6</v>
      </c>
      <c r="G34" s="202">
        <f t="shared" si="4"/>
        <v>0.6</v>
      </c>
      <c r="H34" s="202">
        <f>'Emission Factors'!$D$21</f>
        <v>3.17249932</v>
      </c>
      <c r="I34" s="202">
        <f t="shared" si="2"/>
        <v>1.903499592</v>
      </c>
      <c r="J34" s="179"/>
      <c r="K34" s="180"/>
      <c r="L34" s="180"/>
      <c r="M34" s="180"/>
      <c r="N34" s="180"/>
      <c r="O34" s="180"/>
      <c r="P34" s="180"/>
      <c r="Q34" s="180"/>
      <c r="R34" s="180"/>
      <c r="S34" s="180"/>
      <c r="T34" s="180"/>
      <c r="U34" s="180"/>
    </row>
    <row r="35" spans="1:21" s="184" customFormat="1" ht="19.5">
      <c r="B35" s="182" t="s">
        <v>239</v>
      </c>
      <c r="C35" s="182">
        <v>1</v>
      </c>
      <c r="D35" s="182" t="s">
        <v>229</v>
      </c>
      <c r="E35" s="182" t="s">
        <v>240</v>
      </c>
      <c r="F35" s="200">
        <v>0.6</v>
      </c>
      <c r="G35" s="202">
        <f t="shared" si="4"/>
        <v>0.6</v>
      </c>
      <c r="H35" s="202">
        <f>AVERAGE('Emission Factors'!$D$22,'Emission Factors'!$D$21)</f>
        <v>4.1571925949999997</v>
      </c>
      <c r="I35" s="202">
        <f t="shared" si="2"/>
        <v>2.4943155569999997</v>
      </c>
      <c r="J35" s="179"/>
      <c r="K35" s="180"/>
      <c r="L35" s="180"/>
      <c r="M35" s="180"/>
      <c r="N35" s="180"/>
      <c r="O35" s="180"/>
      <c r="P35" s="180"/>
      <c r="Q35" s="180"/>
      <c r="R35" s="180"/>
      <c r="S35" s="180"/>
      <c r="T35" s="180"/>
      <c r="U35" s="180"/>
    </row>
    <row r="36" spans="1:21" s="184" customFormat="1" ht="19.5">
      <c r="B36" s="182" t="s">
        <v>241</v>
      </c>
      <c r="C36" s="182">
        <v>1</v>
      </c>
      <c r="D36" s="182" t="s">
        <v>220</v>
      </c>
      <c r="E36" s="182" t="s">
        <v>240</v>
      </c>
      <c r="F36" s="200">
        <v>0.6</v>
      </c>
      <c r="G36" s="202">
        <f t="shared" si="4"/>
        <v>0.6</v>
      </c>
      <c r="H36" s="202">
        <f>AVERAGE('Emission Factors'!$D$22,'Emission Factors'!$D$21)</f>
        <v>4.1571925949999997</v>
      </c>
      <c r="I36" s="202">
        <f t="shared" si="2"/>
        <v>2.4943155569999997</v>
      </c>
      <c r="J36" s="179"/>
      <c r="K36" s="180"/>
      <c r="L36" s="198"/>
      <c r="M36" s="180"/>
      <c r="N36" s="180"/>
      <c r="O36" s="180"/>
      <c r="P36" s="180"/>
      <c r="Q36" s="180"/>
      <c r="R36" s="180"/>
      <c r="S36" s="180"/>
      <c r="T36" s="180"/>
      <c r="U36" s="180"/>
    </row>
    <row r="37" spans="1:21" s="184" customFormat="1" ht="19.5">
      <c r="B37" s="182" t="s">
        <v>242</v>
      </c>
      <c r="C37" s="182">
        <v>1</v>
      </c>
      <c r="D37" s="182" t="s">
        <v>243</v>
      </c>
      <c r="E37" s="182" t="s">
        <v>240</v>
      </c>
      <c r="F37" s="200">
        <v>0.6</v>
      </c>
      <c r="G37" s="202">
        <f t="shared" si="4"/>
        <v>0.6</v>
      </c>
      <c r="H37" s="202">
        <f>AVERAGE('Emission Factors'!$D$22,'Emission Factors'!$D$21)</f>
        <v>4.1571925949999997</v>
      </c>
      <c r="I37" s="202">
        <f t="shared" si="2"/>
        <v>2.4943155569999997</v>
      </c>
      <c r="J37" s="179"/>
      <c r="K37" s="180"/>
      <c r="L37" s="180"/>
      <c r="M37" s="180"/>
      <c r="N37" s="180"/>
      <c r="O37" s="180"/>
      <c r="P37" s="180"/>
      <c r="Q37" s="180"/>
      <c r="R37" s="180"/>
      <c r="S37" s="180"/>
      <c r="T37" s="180"/>
      <c r="U37" s="180"/>
    </row>
    <row r="38" spans="1:21" s="184" customFormat="1" ht="19.5">
      <c r="B38" s="182" t="s">
        <v>232</v>
      </c>
      <c r="C38" s="182">
        <v>2</v>
      </c>
      <c r="D38" s="182"/>
      <c r="E38" s="182" t="s">
        <v>233</v>
      </c>
      <c r="F38" s="239">
        <v>0.02</v>
      </c>
      <c r="G38" s="203">
        <f>F38*C38</f>
        <v>0.04</v>
      </c>
      <c r="H38" s="203">
        <f>'Emission Factors'!$D$20</f>
        <v>6.3079999999999998</v>
      </c>
      <c r="I38" s="203">
        <f>G38*H38</f>
        <v>0.25231999999999999</v>
      </c>
      <c r="J38" s="179"/>
      <c r="K38" s="180"/>
      <c r="L38" s="180"/>
      <c r="M38" s="180"/>
      <c r="N38" s="180"/>
      <c r="O38" s="180"/>
      <c r="P38" s="180"/>
      <c r="Q38" s="180"/>
      <c r="R38" s="180"/>
      <c r="S38" s="180"/>
      <c r="T38" s="180"/>
      <c r="U38" s="180"/>
    </row>
    <row r="39" spans="1:21" s="184" customFormat="1" ht="19.5">
      <c r="B39" s="182" t="s">
        <v>234</v>
      </c>
      <c r="C39" s="182"/>
      <c r="D39" s="182"/>
      <c r="E39" s="182"/>
      <c r="F39" s="201"/>
      <c r="G39" s="203"/>
      <c r="H39" s="203"/>
      <c r="I39" s="203">
        <f>G40*'Emission Factors'!$G$26</f>
        <v>9.8602281859999988E-2</v>
      </c>
      <c r="J39" s="179"/>
      <c r="K39" s="180"/>
      <c r="L39" s="180"/>
      <c r="M39" s="180"/>
      <c r="N39" s="180"/>
      <c r="O39" s="180"/>
      <c r="P39" s="180"/>
      <c r="Q39" s="180"/>
      <c r="R39" s="180"/>
      <c r="S39" s="180"/>
      <c r="T39" s="180"/>
      <c r="U39" s="180"/>
    </row>
    <row r="40" spans="1:21" ht="18" customHeight="1">
      <c r="A40" s="192"/>
      <c r="B40" s="188" t="s">
        <v>244</v>
      </c>
      <c r="C40" s="182"/>
      <c r="D40" s="182"/>
      <c r="E40" s="182"/>
      <c r="F40" s="182"/>
      <c r="G40" s="204">
        <f>SUM(G30:G38)</f>
        <v>12.139999999999997</v>
      </c>
      <c r="H40" s="188"/>
      <c r="I40" s="204">
        <f>(SUM(I30:I39))</f>
        <v>58.44848530086</v>
      </c>
    </row>
    <row r="41" spans="1:21" ht="18" customHeight="1">
      <c r="B41" s="188" t="s">
        <v>236</v>
      </c>
      <c r="C41" s="182"/>
      <c r="D41" s="182"/>
      <c r="E41" s="182"/>
      <c r="F41" s="182"/>
      <c r="G41" s="205"/>
      <c r="H41" s="234"/>
      <c r="I41" s="205">
        <f>I40/$D$45</f>
        <v>5.8448485300859998</v>
      </c>
    </row>
    <row r="42" spans="1:21" ht="14.25" customHeight="1">
      <c r="B42" s="190"/>
      <c r="G42" s="190"/>
      <c r="H42" s="190"/>
      <c r="I42" s="193"/>
    </row>
    <row r="43" spans="1:21" ht="14.25" customHeight="1">
      <c r="A43" s="192"/>
      <c r="B43" s="182"/>
      <c r="C43" s="178" t="s">
        <v>245</v>
      </c>
      <c r="D43" s="178" t="s">
        <v>246</v>
      </c>
      <c r="E43" s="178" t="s">
        <v>51</v>
      </c>
      <c r="F43" s="178" t="s">
        <v>247</v>
      </c>
      <c r="G43" s="178" t="s">
        <v>248</v>
      </c>
    </row>
    <row r="44" spans="1:21" ht="21" customHeight="1">
      <c r="A44" s="192"/>
      <c r="B44" s="182" t="s">
        <v>116</v>
      </c>
      <c r="C44" s="200">
        <f>(2*C7)+(C18*2)+(C29*2)</f>
        <v>8</v>
      </c>
      <c r="D44" s="200">
        <v>10</v>
      </c>
      <c r="E44" s="202">
        <f>(C44*'Emission Factors'!D20)/D44</f>
        <v>5.0464000000000002</v>
      </c>
      <c r="F44" s="182" t="s">
        <v>249</v>
      </c>
      <c r="G44" s="195"/>
    </row>
    <row r="45" spans="1:21" ht="21.6" customHeight="1">
      <c r="A45" s="192"/>
      <c r="B45" s="182" t="s">
        <v>250</v>
      </c>
      <c r="C45" s="194"/>
      <c r="D45" s="200">
        <v>10</v>
      </c>
      <c r="E45" s="194"/>
      <c r="F45" s="182" t="s">
        <v>251</v>
      </c>
      <c r="G45" s="224" t="s">
        <v>252</v>
      </c>
      <c r="J45" s="196"/>
      <c r="L45" s="197"/>
    </row>
    <row r="46" spans="1:21" ht="14.25" customHeight="1">
      <c r="D46" s="196"/>
    </row>
    <row r="47" spans="1:21" ht="14.25" customHeight="1">
      <c r="D47" s="196"/>
    </row>
    <row r="48" spans="1:21" ht="14.25" customHeight="1">
      <c r="B48" s="190" t="s">
        <v>253</v>
      </c>
      <c r="C48" s="179" t="s">
        <v>254</v>
      </c>
      <c r="D48" s="196" t="s">
        <v>162</v>
      </c>
    </row>
    <row r="49" spans="2:4" ht="20.25" customHeight="1">
      <c r="B49" s="185" t="s">
        <v>96</v>
      </c>
      <c r="C49" s="227">
        <f>(G15*C7)/D45</f>
        <v>1.3279999999999998</v>
      </c>
      <c r="D49" s="225">
        <f>SUMPRODUCT(G8:G12,H8:H12)/SUM(G8:G12)</f>
        <v>4.6967913127272736</v>
      </c>
    </row>
    <row r="50" spans="2:4" ht="20.25" customHeight="1">
      <c r="B50" s="182" t="s">
        <v>98</v>
      </c>
      <c r="C50" s="227">
        <f>(G26*C18)/D45</f>
        <v>0.66399999999999992</v>
      </c>
      <c r="D50" s="225">
        <f>SUMPRODUCT(G19:G23,H19:H23)/SUM(G19:G23)</f>
        <v>4.6967913127272736</v>
      </c>
    </row>
    <row r="51" spans="2:4" ht="20.25" customHeight="1">
      <c r="B51" s="182" t="s">
        <v>101</v>
      </c>
      <c r="C51" s="227">
        <f>(G40*C29)/D45</f>
        <v>1.2139999999999997</v>
      </c>
      <c r="D51" s="225">
        <f>SUMPRODUCT(G30:G37,H30:H37)/SUM(G30:G37)</f>
        <v>4.8014514891735542</v>
      </c>
    </row>
    <row r="52" spans="2:4" ht="14.25" customHeight="1">
      <c r="B52" s="182" t="s">
        <v>255</v>
      </c>
      <c r="C52" s="226">
        <f>C44/D44</f>
        <v>0.8</v>
      </c>
    </row>
  </sheetData>
  <mergeCells count="1">
    <mergeCell ref="P6:R6"/>
  </mergeCells>
  <phoneticPr fontId="7" type="noConversion"/>
  <hyperlinks>
    <hyperlink ref="G45" r:id="rId1" display="https://texaset.tamu.edu/Resources/Documents/Weather Station Sensor Maintenance and Guide 2015.pdf" xr:uid="{94711EA2-0089-4B22-AA4F-C7819829895F}"/>
  </hyperlinks>
  <pageMargins left="0" right="0" top="0.39374999999999999" bottom="0.39374999999999999" header="0" footer="0"/>
  <pageSetup orientation="portrait" horizontalDpi="300" verticalDpi="300"/>
  <headerFooter>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63A3-0D94-4D82-9EC7-74A9F922D69D}">
  <sheetPr>
    <tabColor rgb="FF003F79"/>
  </sheetPr>
  <dimension ref="B1:M142"/>
  <sheetViews>
    <sheetView topLeftCell="G57" zoomScale="70" zoomScaleNormal="70" workbookViewId="0">
      <selection activeCell="J69" sqref="J69:K70"/>
    </sheetView>
  </sheetViews>
  <sheetFormatPr defaultColWidth="8.75" defaultRowHeight="15" customHeight="1"/>
  <cols>
    <col min="1" max="1" width="8.75" style="63"/>
    <col min="2" max="2" width="13.75" style="63" customWidth="1"/>
    <col min="3" max="3" width="53" style="3" customWidth="1"/>
    <col min="4" max="4" width="33.5" style="125" customWidth="1"/>
    <col min="5" max="5" width="32.5" style="125" customWidth="1"/>
    <col min="6" max="6" width="80.75" style="125" customWidth="1"/>
    <col min="7" max="7" width="27.5" style="125" customWidth="1"/>
    <col min="8" max="8" width="51.875" style="3" customWidth="1"/>
    <col min="9" max="9" width="29.5" style="3" customWidth="1"/>
    <col min="10" max="11" width="25.25" style="3" customWidth="1"/>
    <col min="12" max="12" width="18" style="3" customWidth="1"/>
    <col min="13" max="16384" width="8.75" style="63"/>
  </cols>
  <sheetData>
    <row r="1" spans="2:12" s="101" customFormat="1" ht="19.5">
      <c r="C1" s="120"/>
      <c r="D1" s="121"/>
      <c r="E1" s="121"/>
      <c r="F1" s="121"/>
      <c r="G1" s="121"/>
      <c r="H1" s="120"/>
      <c r="I1" s="120"/>
      <c r="J1" s="120"/>
      <c r="K1" s="120"/>
      <c r="L1" s="120"/>
    </row>
    <row r="2" spans="2:12" s="101" customFormat="1" ht="30" customHeight="1" thickBot="1">
      <c r="B2" s="102" t="s">
        <v>256</v>
      </c>
      <c r="C2" s="120"/>
      <c r="D2" s="121"/>
      <c r="E2" s="121"/>
      <c r="F2" s="121"/>
      <c r="G2" s="121"/>
      <c r="H2" s="120"/>
      <c r="I2" s="120"/>
      <c r="J2" s="120"/>
      <c r="K2" s="120"/>
      <c r="L2" s="120"/>
    </row>
    <row r="3" spans="2:12" s="104" customFormat="1" ht="20.45" thickTop="1" thickBot="1">
      <c r="B3" s="103"/>
      <c r="C3" s="122"/>
      <c r="D3" s="123"/>
      <c r="E3" s="123"/>
      <c r="F3" s="123"/>
      <c r="G3" s="123"/>
      <c r="H3" s="122"/>
      <c r="I3" s="122"/>
      <c r="J3" s="122"/>
      <c r="K3" s="122"/>
      <c r="L3" s="122"/>
    </row>
    <row r="4" spans="2:12" s="101" customFormat="1" ht="19.5">
      <c r="B4" s="222"/>
      <c r="C4" s="120"/>
      <c r="D4" s="121"/>
      <c r="E4" s="121"/>
      <c r="F4" s="121"/>
      <c r="G4" s="121"/>
      <c r="H4" s="120"/>
      <c r="I4" s="120"/>
      <c r="J4" s="120"/>
      <c r="K4" s="120"/>
      <c r="L4" s="120"/>
    </row>
    <row r="5" spans="2:12" s="101" customFormat="1" ht="19.5">
      <c r="B5" s="222"/>
      <c r="C5" s="76" t="s">
        <v>209</v>
      </c>
      <c r="E5" s="121"/>
      <c r="F5" s="121"/>
      <c r="G5" s="121"/>
      <c r="H5" s="120"/>
      <c r="I5" s="120"/>
      <c r="J5" s="120"/>
      <c r="K5" s="120"/>
      <c r="L5" s="120"/>
    </row>
    <row r="6" spans="2:12" s="101" customFormat="1" ht="19.5">
      <c r="B6" s="222"/>
      <c r="C6" s="77" t="s">
        <v>210</v>
      </c>
      <c r="E6" s="121"/>
      <c r="F6" s="121"/>
      <c r="G6" s="121"/>
      <c r="H6" s="120"/>
      <c r="I6" s="120"/>
      <c r="J6" s="120"/>
      <c r="K6" s="120"/>
      <c r="L6" s="120"/>
    </row>
    <row r="7" spans="2:12" s="101" customFormat="1" ht="19.5">
      <c r="B7" s="222"/>
      <c r="C7" s="69" t="s">
        <v>57</v>
      </c>
      <c r="E7" s="121"/>
      <c r="F7" s="121"/>
      <c r="G7" s="121"/>
      <c r="H7" s="120"/>
      <c r="I7" s="120"/>
      <c r="J7" s="120"/>
      <c r="K7" s="120"/>
      <c r="L7" s="120"/>
    </row>
    <row r="8" spans="2:12" s="101" customFormat="1" ht="19.5">
      <c r="B8" s="222"/>
      <c r="C8" s="120"/>
      <c r="D8" s="121"/>
      <c r="E8" s="121"/>
      <c r="F8" s="121"/>
      <c r="G8" s="121"/>
      <c r="H8" s="120"/>
      <c r="I8" s="120"/>
      <c r="J8" s="120"/>
      <c r="K8" s="120"/>
      <c r="L8" s="120"/>
    </row>
    <row r="9" spans="2:12" s="101" customFormat="1" ht="19.5">
      <c r="B9" s="228" t="s">
        <v>257</v>
      </c>
      <c r="C9" s="120"/>
      <c r="D9" s="121"/>
      <c r="E9" s="121"/>
      <c r="F9" s="121"/>
      <c r="G9" s="121"/>
      <c r="H9" s="120"/>
      <c r="I9" s="120"/>
      <c r="J9" s="120"/>
      <c r="K9" s="120"/>
      <c r="L9" s="120"/>
    </row>
    <row r="10" spans="2:12" ht="15" customHeight="1">
      <c r="C10" s="52"/>
    </row>
    <row r="11" spans="2:12" ht="15" customHeight="1">
      <c r="C11" s="168" t="s">
        <v>258</v>
      </c>
      <c r="D11" s="168" t="s">
        <v>259</v>
      </c>
      <c r="E11" s="168" t="s">
        <v>94</v>
      </c>
      <c r="F11" s="168" t="s">
        <v>260</v>
      </c>
    </row>
    <row r="12" spans="2:12" ht="22.5" customHeight="1">
      <c r="C12" s="220" t="s">
        <v>261</v>
      </c>
      <c r="D12" s="78">
        <f>AVERAGE(0.98,3,6)</f>
        <v>3.3266666666666667</v>
      </c>
      <c r="E12" s="221" t="s">
        <v>262</v>
      </c>
      <c r="F12" s="229"/>
    </row>
    <row r="13" spans="2:12" ht="20.25" customHeight="1">
      <c r="B13" s="276" t="s">
        <v>69</v>
      </c>
      <c r="C13" s="220" t="s">
        <v>263</v>
      </c>
      <c r="D13" s="77">
        <v>24</v>
      </c>
      <c r="E13" s="221" t="s">
        <v>264</v>
      </c>
      <c r="F13" s="280" t="s">
        <v>265</v>
      </c>
    </row>
    <row r="14" spans="2:12" ht="20.25" customHeight="1">
      <c r="B14" s="276"/>
      <c r="C14" s="30" t="s">
        <v>266</v>
      </c>
      <c r="D14" s="77">
        <v>2</v>
      </c>
      <c r="E14" s="221" t="s">
        <v>264</v>
      </c>
      <c r="F14" s="280"/>
    </row>
    <row r="15" spans="2:12" ht="20.25" customHeight="1">
      <c r="B15" s="276"/>
      <c r="C15" s="30" t="s">
        <v>267</v>
      </c>
      <c r="D15" s="77">
        <v>6</v>
      </c>
      <c r="E15" s="221" t="s">
        <v>264</v>
      </c>
      <c r="F15" s="280"/>
    </row>
    <row r="16" spans="2:12" ht="20.25" customHeight="1">
      <c r="B16" s="276"/>
      <c r="C16" s="30" t="s">
        <v>268</v>
      </c>
      <c r="D16" s="77">
        <v>1010</v>
      </c>
      <c r="E16" s="169" t="s">
        <v>80</v>
      </c>
      <c r="F16" s="229"/>
    </row>
    <row r="17" spans="2:10" ht="20.25" customHeight="1">
      <c r="B17" s="276"/>
      <c r="C17" s="30" t="s">
        <v>269</v>
      </c>
      <c r="D17" s="77">
        <v>1010</v>
      </c>
      <c r="E17" s="169" t="s">
        <v>80</v>
      </c>
      <c r="F17" s="229"/>
    </row>
    <row r="18" spans="2:10" ht="20.25" customHeight="1">
      <c r="B18" s="276"/>
      <c r="C18" s="30" t="s">
        <v>270</v>
      </c>
      <c r="D18" s="77">
        <v>3500</v>
      </c>
      <c r="E18" s="169" t="s">
        <v>81</v>
      </c>
      <c r="F18" s="229"/>
    </row>
    <row r="19" spans="2:10" ht="20.25" customHeight="1">
      <c r="B19" s="276"/>
      <c r="C19" s="30" t="s">
        <v>271</v>
      </c>
      <c r="D19" s="77">
        <v>3200</v>
      </c>
      <c r="E19" s="169" t="s">
        <v>81</v>
      </c>
      <c r="F19" s="229"/>
    </row>
    <row r="20" spans="2:10" ht="20.25" customHeight="1">
      <c r="B20" s="276"/>
      <c r="C20" s="30" t="s">
        <v>160</v>
      </c>
      <c r="D20" s="77">
        <f>F69</f>
        <v>522</v>
      </c>
      <c r="E20" s="169" t="s">
        <v>272</v>
      </c>
      <c r="F20" s="229"/>
    </row>
    <row r="21" spans="2:10" ht="20.25" customHeight="1">
      <c r="B21" s="277" t="s">
        <v>273</v>
      </c>
      <c r="C21" s="220" t="s">
        <v>263</v>
      </c>
      <c r="D21" s="77">
        <v>8</v>
      </c>
      <c r="E21" s="221" t="s">
        <v>264</v>
      </c>
      <c r="F21" s="280" t="s">
        <v>265</v>
      </c>
    </row>
    <row r="22" spans="2:10" ht="20.25" customHeight="1">
      <c r="B22" s="278"/>
      <c r="C22" s="30" t="s">
        <v>266</v>
      </c>
      <c r="D22" s="77">
        <v>0</v>
      </c>
      <c r="E22" s="221" t="s">
        <v>264</v>
      </c>
      <c r="F22" s="280"/>
    </row>
    <row r="23" spans="2:10" ht="20.25" customHeight="1">
      <c r="B23" s="278"/>
      <c r="C23" s="30" t="s">
        <v>267</v>
      </c>
      <c r="D23" s="77">
        <v>2</v>
      </c>
      <c r="E23" s="221" t="s">
        <v>264</v>
      </c>
      <c r="F23" s="280"/>
    </row>
    <row r="24" spans="2:10" ht="20.25" customHeight="1">
      <c r="B24" s="278"/>
      <c r="C24" s="30" t="s">
        <v>274</v>
      </c>
      <c r="D24" s="69">
        <f>IF(Calculator!D26&gt;0,Calculator!D26,(AVERAGE(H96:H97)))</f>
        <v>760</v>
      </c>
      <c r="E24" s="11" t="s">
        <v>80</v>
      </c>
      <c r="F24" s="229" t="s">
        <v>275</v>
      </c>
    </row>
    <row r="25" spans="2:10" ht="22.5" customHeight="1">
      <c r="B25" s="278"/>
      <c r="C25" s="30" t="s">
        <v>276</v>
      </c>
      <c r="D25" s="69">
        <f>IF(Calculator!D28&gt;0,Calculator!D28,(AVERAGE(H98:H99)))</f>
        <v>1738</v>
      </c>
      <c r="E25" s="11" t="s">
        <v>81</v>
      </c>
      <c r="F25" s="229" t="s">
        <v>277</v>
      </c>
    </row>
    <row r="26" spans="2:10" ht="20.25" customHeight="1">
      <c r="B26" s="279"/>
      <c r="C26" s="30" t="s">
        <v>160</v>
      </c>
      <c r="D26" s="69">
        <f>IF(Calculator!D27&gt;0,Calculator!D27,G103)</f>
        <v>108</v>
      </c>
      <c r="E26" s="11" t="s">
        <v>76</v>
      </c>
      <c r="F26" s="229"/>
    </row>
    <row r="27" spans="2:10" ht="15" customHeight="1">
      <c r="C27" s="63"/>
      <c r="D27" s="63"/>
      <c r="E27" s="63"/>
    </row>
    <row r="28" spans="2:10" ht="15" customHeight="1">
      <c r="B28" s="223"/>
    </row>
    <row r="29" spans="2:10" ht="27.95">
      <c r="C29" s="124" t="s">
        <v>278</v>
      </c>
      <c r="G29" s="126"/>
    </row>
    <row r="31" spans="2:10" ht="30" customHeight="1" thickBot="1">
      <c r="C31" s="127" t="s">
        <v>279</v>
      </c>
    </row>
    <row r="32" spans="2:10" ht="55.5" customHeight="1">
      <c r="C32" s="259" t="s">
        <v>280</v>
      </c>
      <c r="D32" s="259"/>
      <c r="E32" s="259"/>
      <c r="F32" s="259"/>
      <c r="G32" s="3"/>
      <c r="J32" s="63"/>
    </row>
    <row r="33" spans="3:12" ht="91.5" customHeight="1">
      <c r="C33" s="128" t="s">
        <v>281</v>
      </c>
      <c r="D33" s="260" t="s">
        <v>282</v>
      </c>
      <c r="E33" s="260"/>
      <c r="F33" s="260"/>
      <c r="G33" s="260"/>
    </row>
    <row r="34" spans="3:12" ht="72.75" customHeight="1">
      <c r="C34" s="128" t="s">
        <v>283</v>
      </c>
      <c r="D34" s="260" t="s">
        <v>284</v>
      </c>
      <c r="E34" s="260"/>
      <c r="F34" s="260"/>
      <c r="G34" s="260"/>
    </row>
    <row r="35" spans="3:12" ht="72.75" customHeight="1">
      <c r="C35" s="128" t="s">
        <v>285</v>
      </c>
      <c r="D35" s="261" t="s">
        <v>286</v>
      </c>
      <c r="E35" s="261"/>
      <c r="F35" s="261"/>
      <c r="G35" s="261"/>
    </row>
    <row r="36" spans="3:12" ht="72.75" customHeight="1">
      <c r="C36" s="128" t="s">
        <v>287</v>
      </c>
      <c r="D36" s="261" t="s">
        <v>288</v>
      </c>
      <c r="E36" s="261"/>
      <c r="F36" s="261"/>
      <c r="G36" s="261"/>
      <c r="J36" s="63"/>
    </row>
    <row r="37" spans="3:12" ht="72.75" customHeight="1">
      <c r="C37" s="129" t="s">
        <v>289</v>
      </c>
      <c r="D37" s="262" t="s">
        <v>290</v>
      </c>
      <c r="E37" s="263"/>
      <c r="F37" s="263"/>
      <c r="G37" s="264"/>
    </row>
    <row r="38" spans="3:12" ht="19.5">
      <c r="D38" s="130"/>
    </row>
    <row r="39" spans="3:12" s="105" customFormat="1" ht="21.6" thickBot="1">
      <c r="C39" s="131" t="s">
        <v>74</v>
      </c>
      <c r="D39" s="131"/>
      <c r="E39" s="131"/>
      <c r="F39" s="132"/>
      <c r="G39" s="132"/>
      <c r="H39" s="37"/>
      <c r="I39" s="33"/>
      <c r="J39" s="37"/>
      <c r="K39" s="37"/>
      <c r="L39" s="37"/>
    </row>
    <row r="40" spans="3:12" s="105" customFormat="1" ht="19.5">
      <c r="C40" s="265" t="s">
        <v>291</v>
      </c>
      <c r="D40" s="265"/>
      <c r="E40" s="265"/>
      <c r="F40" s="265"/>
      <c r="G40" s="265"/>
      <c r="H40" s="37"/>
      <c r="I40" s="33"/>
      <c r="J40" s="37"/>
      <c r="K40" s="37" t="s">
        <v>292</v>
      </c>
      <c r="L40" s="37"/>
    </row>
    <row r="41" spans="3:12" s="105" customFormat="1" ht="19.5">
      <c r="C41" s="266" t="s">
        <v>293</v>
      </c>
      <c r="D41" s="266"/>
      <c r="E41" s="266"/>
      <c r="F41" s="132"/>
      <c r="G41" s="132"/>
      <c r="H41" s="37"/>
      <c r="I41" s="33"/>
      <c r="J41" s="37"/>
      <c r="K41" s="37"/>
      <c r="L41" s="37"/>
    </row>
    <row r="42" spans="3:12" s="105" customFormat="1" ht="41.25" customHeight="1">
      <c r="C42" s="267" t="s">
        <v>294</v>
      </c>
      <c r="D42" s="268"/>
      <c r="E42" s="268"/>
      <c r="F42" s="268"/>
      <c r="G42" s="268"/>
      <c r="H42" s="37"/>
      <c r="I42" s="33"/>
      <c r="J42" s="37"/>
      <c r="K42" s="37"/>
      <c r="L42" s="37"/>
    </row>
    <row r="43" spans="3:12" s="105" customFormat="1" ht="19.5">
      <c r="C43" s="133"/>
      <c r="D43" s="132"/>
      <c r="E43" s="132"/>
      <c r="F43" s="134"/>
      <c r="G43" s="132"/>
      <c r="H43" s="37"/>
      <c r="I43" s="33"/>
      <c r="J43" s="37"/>
      <c r="K43" s="37"/>
      <c r="L43" s="37"/>
    </row>
    <row r="44" spans="3:12" s="105" customFormat="1" ht="19.5">
      <c r="C44" s="135" t="s">
        <v>295</v>
      </c>
      <c r="D44" s="136" t="s">
        <v>296</v>
      </c>
      <c r="E44" s="136" t="s">
        <v>63</v>
      </c>
      <c r="F44" s="136" t="s">
        <v>59</v>
      </c>
      <c r="G44" s="136" t="s">
        <v>248</v>
      </c>
      <c r="H44" s="136" t="s">
        <v>297</v>
      </c>
      <c r="I44" s="33"/>
      <c r="K44" s="37"/>
      <c r="L44" s="37"/>
    </row>
    <row r="45" spans="3:12" s="105" customFormat="1" ht="19.5">
      <c r="C45" s="25" t="s">
        <v>298</v>
      </c>
      <c r="D45" s="137" t="s">
        <v>299</v>
      </c>
      <c r="E45" s="137"/>
      <c r="F45" s="138" t="s">
        <v>300</v>
      </c>
      <c r="G45" s="139"/>
      <c r="H45" s="257" t="s">
        <v>301</v>
      </c>
      <c r="I45" s="33"/>
      <c r="K45" s="37"/>
      <c r="L45" s="37"/>
    </row>
    <row r="46" spans="3:12" s="105" customFormat="1" ht="19.5">
      <c r="C46" s="140"/>
      <c r="D46" s="141" t="s">
        <v>302</v>
      </c>
      <c r="E46" s="141"/>
      <c r="F46" s="142" t="s">
        <v>303</v>
      </c>
      <c r="G46" s="143"/>
      <c r="H46" s="258"/>
      <c r="I46" s="33"/>
      <c r="K46" s="37"/>
      <c r="L46" s="37"/>
    </row>
    <row r="47" spans="3:12" s="105" customFormat="1" ht="19.5">
      <c r="C47" s="140"/>
      <c r="D47" s="141" t="s">
        <v>304</v>
      </c>
      <c r="E47" s="141"/>
      <c r="F47" s="142" t="s">
        <v>305</v>
      </c>
      <c r="G47" s="143"/>
      <c r="H47" s="144"/>
      <c r="I47" s="33"/>
      <c r="K47" s="37"/>
      <c r="L47" s="37"/>
    </row>
    <row r="48" spans="3:12" s="105" customFormat="1" ht="19.5">
      <c r="C48" s="37"/>
      <c r="D48" s="37"/>
      <c r="E48" s="37"/>
      <c r="F48" s="37"/>
      <c r="G48" s="37"/>
      <c r="H48" s="37"/>
      <c r="I48" s="33"/>
      <c r="J48" s="37"/>
      <c r="K48" s="37"/>
      <c r="L48" s="37"/>
    </row>
    <row r="49" spans="2:13" s="105" customFormat="1" ht="19.5">
      <c r="C49" s="145" t="s">
        <v>306</v>
      </c>
      <c r="D49" s="37"/>
      <c r="E49" s="37"/>
      <c r="F49" s="37"/>
      <c r="G49" s="37"/>
      <c r="H49" s="37"/>
      <c r="I49" s="33"/>
      <c r="J49" s="37"/>
      <c r="K49" s="37"/>
      <c r="L49" s="37"/>
    </row>
    <row r="50" spans="2:13" s="105" customFormat="1" ht="19.5">
      <c r="C50" s="135" t="s">
        <v>295</v>
      </c>
      <c r="D50" s="136" t="s">
        <v>307</v>
      </c>
      <c r="E50" s="136" t="s">
        <v>308</v>
      </c>
      <c r="F50" s="136" t="s">
        <v>63</v>
      </c>
      <c r="G50" s="136" t="s">
        <v>59</v>
      </c>
      <c r="H50" s="136" t="s">
        <v>297</v>
      </c>
      <c r="I50" s="33"/>
      <c r="J50" s="37"/>
      <c r="K50" s="37"/>
      <c r="L50" s="37"/>
    </row>
    <row r="51" spans="2:13" s="105" customFormat="1" ht="78">
      <c r="C51" s="146" t="s">
        <v>309</v>
      </c>
      <c r="D51" s="137"/>
      <c r="E51" s="147" t="s">
        <v>310</v>
      </c>
      <c r="F51" s="148" t="s">
        <v>311</v>
      </c>
      <c r="G51" s="137" t="s">
        <v>312</v>
      </c>
      <c r="H51" s="172"/>
      <c r="I51" s="33"/>
      <c r="J51" s="37"/>
      <c r="K51" s="37"/>
      <c r="L51" s="37"/>
    </row>
    <row r="52" spans="2:13" s="105" customFormat="1" ht="19.5">
      <c r="C52" s="149"/>
      <c r="D52" s="141"/>
      <c r="E52" s="150"/>
      <c r="F52" s="151" t="s">
        <v>313</v>
      </c>
      <c r="G52" s="141" t="s">
        <v>312</v>
      </c>
      <c r="H52" s="141" t="s">
        <v>314</v>
      </c>
      <c r="I52" s="33"/>
      <c r="J52" s="37"/>
      <c r="K52" s="37"/>
      <c r="L52" s="37"/>
    </row>
    <row r="53" spans="2:13" s="105" customFormat="1" ht="19.5">
      <c r="C53" s="149"/>
      <c r="D53" s="141"/>
      <c r="E53" s="150"/>
      <c r="F53" s="151"/>
      <c r="G53" s="141"/>
      <c r="H53" s="141"/>
      <c r="I53" s="33"/>
      <c r="J53" s="37"/>
      <c r="K53" s="37"/>
      <c r="L53" s="37"/>
    </row>
    <row r="54" spans="2:13" s="105" customFormat="1" ht="19.5">
      <c r="C54" s="37"/>
      <c r="D54" s="132"/>
      <c r="E54" s="132"/>
      <c r="F54" s="132"/>
      <c r="G54" s="132"/>
      <c r="H54" s="37"/>
      <c r="I54" s="33"/>
      <c r="J54" s="37"/>
      <c r="K54" s="37"/>
      <c r="L54" s="37"/>
    </row>
    <row r="55" spans="2:13" s="105" customFormat="1" ht="19.5">
      <c r="C55" s="145" t="s">
        <v>315</v>
      </c>
      <c r="D55" s="37"/>
      <c r="E55" s="37"/>
      <c r="F55" s="37"/>
      <c r="G55" s="37"/>
      <c r="H55" s="37"/>
      <c r="I55" s="33"/>
      <c r="J55" s="37"/>
      <c r="K55" s="37"/>
      <c r="L55" s="37"/>
    </row>
    <row r="56" spans="2:13" s="105" customFormat="1" ht="19.5">
      <c r="C56" s="135" t="s">
        <v>295</v>
      </c>
      <c r="D56" s="136" t="s">
        <v>316</v>
      </c>
      <c r="E56" s="136" t="s">
        <v>317</v>
      </c>
      <c r="F56" s="136" t="s">
        <v>63</v>
      </c>
      <c r="G56" s="136" t="s">
        <v>59</v>
      </c>
      <c r="H56" s="136" t="s">
        <v>297</v>
      </c>
      <c r="I56" s="33"/>
      <c r="J56" s="37"/>
      <c r="K56" s="37"/>
      <c r="L56" s="37"/>
    </row>
    <row r="57" spans="2:13" s="105" customFormat="1" ht="39">
      <c r="C57" s="20" t="s">
        <v>318</v>
      </c>
      <c r="D57" s="137"/>
      <c r="E57" s="152"/>
      <c r="F57" s="137"/>
      <c r="G57" s="137"/>
      <c r="H57" s="153" t="s">
        <v>319</v>
      </c>
      <c r="I57" s="33"/>
      <c r="J57" s="37"/>
      <c r="K57" s="37"/>
      <c r="L57" s="37"/>
    </row>
    <row r="58" spans="2:13" s="105" customFormat="1" ht="19.5">
      <c r="C58" s="33"/>
      <c r="D58" s="33"/>
      <c r="E58" s="33"/>
      <c r="F58" s="33"/>
      <c r="G58" s="33"/>
      <c r="H58" s="33"/>
      <c r="I58" s="33"/>
      <c r="L58" s="33"/>
      <c r="M58" s="106"/>
    </row>
    <row r="59" spans="2:13" s="105" customFormat="1" ht="19.5">
      <c r="B59" s="107"/>
      <c r="C59" s="154"/>
      <c r="D59" s="154"/>
      <c r="E59" s="154"/>
      <c r="F59" s="154"/>
      <c r="G59" s="154"/>
      <c r="H59" s="33"/>
      <c r="I59" s="33"/>
      <c r="J59" s="33"/>
      <c r="K59" s="33"/>
      <c r="L59" s="33"/>
      <c r="M59" s="106"/>
    </row>
    <row r="60" spans="2:13" s="105" customFormat="1" ht="19.5">
      <c r="C60" s="145" t="s">
        <v>320</v>
      </c>
      <c r="D60" s="37"/>
      <c r="E60" s="37"/>
      <c r="F60" s="37"/>
      <c r="G60" s="37"/>
      <c r="H60" s="33"/>
      <c r="I60" s="33"/>
      <c r="J60" s="33"/>
      <c r="K60" s="33"/>
      <c r="L60" s="33"/>
      <c r="M60" s="106"/>
    </row>
    <row r="61" spans="2:13" s="105" customFormat="1" ht="19.5">
      <c r="C61" s="135" t="s">
        <v>295</v>
      </c>
      <c r="D61" s="136" t="s">
        <v>63</v>
      </c>
      <c r="E61" s="136" t="s">
        <v>59</v>
      </c>
      <c r="F61" s="136" t="s">
        <v>248</v>
      </c>
      <c r="G61" s="136" t="s">
        <v>297</v>
      </c>
      <c r="H61" s="33"/>
      <c r="I61" s="33"/>
      <c r="J61" s="33"/>
      <c r="K61" s="33"/>
      <c r="L61" s="33"/>
      <c r="M61" s="106"/>
    </row>
    <row r="62" spans="2:13" s="105" customFormat="1" ht="19.5">
      <c r="C62" s="20" t="s">
        <v>321</v>
      </c>
      <c r="D62" s="155" t="s">
        <v>322</v>
      </c>
      <c r="E62" s="137" t="s">
        <v>80</v>
      </c>
      <c r="F62" s="137"/>
      <c r="G62" s="137"/>
      <c r="H62" s="33"/>
      <c r="I62" s="33"/>
      <c r="J62" s="33"/>
      <c r="M62" s="106"/>
    </row>
    <row r="63" spans="2:13" s="105" customFormat="1" ht="19.5">
      <c r="C63" s="20"/>
      <c r="D63" s="155" t="s">
        <v>323</v>
      </c>
      <c r="E63" s="137" t="s">
        <v>80</v>
      </c>
      <c r="F63" s="137"/>
      <c r="G63" s="137"/>
      <c r="H63" s="33"/>
      <c r="I63" s="33"/>
      <c r="M63" s="106"/>
    </row>
    <row r="64" spans="2:13" s="105" customFormat="1" ht="19.5">
      <c r="C64" s="20" t="s">
        <v>324</v>
      </c>
      <c r="D64" s="137" t="s">
        <v>325</v>
      </c>
      <c r="E64" s="137"/>
      <c r="F64" s="137"/>
      <c r="G64" s="137"/>
      <c r="H64" s="33"/>
      <c r="I64" s="33"/>
      <c r="L64" s="33"/>
      <c r="M64" s="106"/>
    </row>
    <row r="65" spans="3:13" s="105" customFormat="1" ht="19.5">
      <c r="C65" s="33"/>
      <c r="D65" s="141" t="s">
        <v>326</v>
      </c>
      <c r="E65" s="141"/>
      <c r="F65" s="141"/>
      <c r="G65" s="141" t="s">
        <v>327</v>
      </c>
      <c r="H65" s="33"/>
      <c r="I65" s="33"/>
      <c r="L65" s="33"/>
      <c r="M65" s="106"/>
    </row>
    <row r="66" spans="3:13" s="105" customFormat="1" ht="19.5">
      <c r="C66" s="33"/>
      <c r="D66" s="33"/>
      <c r="E66" s="33"/>
      <c r="F66" s="33"/>
      <c r="G66" s="33"/>
      <c r="H66" s="33"/>
      <c r="I66" s="33"/>
      <c r="J66" s="33"/>
      <c r="K66" s="33"/>
      <c r="L66" s="33"/>
      <c r="M66" s="106"/>
    </row>
    <row r="67" spans="3:13" s="105" customFormat="1" ht="19.5">
      <c r="C67" s="145" t="s">
        <v>328</v>
      </c>
      <c r="D67" s="37"/>
      <c r="E67" s="37"/>
      <c r="F67" s="37"/>
      <c r="G67" s="37"/>
      <c r="H67" s="33"/>
      <c r="I67" s="33"/>
      <c r="J67" s="33"/>
      <c r="K67" s="33"/>
      <c r="L67" s="33"/>
      <c r="M67" s="106"/>
    </row>
    <row r="68" spans="3:13" s="105" customFormat="1" ht="19.5">
      <c r="C68" s="135" t="s">
        <v>295</v>
      </c>
      <c r="D68" s="136" t="s">
        <v>63</v>
      </c>
      <c r="E68" s="136" t="s">
        <v>59</v>
      </c>
      <c r="F68" s="136" t="s">
        <v>248</v>
      </c>
      <c r="G68" s="136" t="s">
        <v>297</v>
      </c>
      <c r="H68" s="33"/>
      <c r="I68" s="33"/>
      <c r="J68" s="33"/>
      <c r="K68" s="33"/>
      <c r="L68" s="33"/>
      <c r="M68" s="106"/>
    </row>
    <row r="69" spans="3:13" s="105" customFormat="1" ht="141.75" customHeight="1">
      <c r="C69" s="20" t="s">
        <v>329</v>
      </c>
      <c r="D69" s="153" t="s">
        <v>330</v>
      </c>
      <c r="E69" s="137"/>
      <c r="F69" s="137">
        <f>58*9</f>
        <v>522</v>
      </c>
      <c r="G69" s="137"/>
      <c r="H69" s="33"/>
      <c r="I69" s="33"/>
      <c r="L69" s="33"/>
      <c r="M69" s="106"/>
    </row>
    <row r="70" spans="3:13" s="105" customFormat="1" ht="58.5">
      <c r="C70" s="20" t="s">
        <v>331</v>
      </c>
      <c r="D70" s="137" t="s">
        <v>332</v>
      </c>
      <c r="E70" s="137"/>
      <c r="F70" s="137"/>
      <c r="G70" s="137"/>
      <c r="H70" s="33"/>
      <c r="I70" s="33"/>
      <c r="J70" s="33"/>
      <c r="K70" s="33"/>
      <c r="L70" s="33"/>
      <c r="M70" s="106"/>
    </row>
    <row r="71" spans="3:13" s="105" customFormat="1" ht="19.5">
      <c r="C71" s="33"/>
      <c r="D71" s="33"/>
      <c r="E71" s="33"/>
      <c r="F71" s="33"/>
      <c r="G71" s="33"/>
      <c r="H71" s="33"/>
      <c r="I71" s="33"/>
      <c r="J71" s="33"/>
      <c r="K71" s="33"/>
      <c r="L71" s="33"/>
      <c r="M71" s="106"/>
    </row>
    <row r="72" spans="3:13" s="105" customFormat="1" ht="20.100000000000001" thickBot="1">
      <c r="C72" s="156" t="s">
        <v>90</v>
      </c>
      <c r="D72" s="132"/>
      <c r="E72" s="132"/>
      <c r="F72" s="132"/>
      <c r="G72" s="132"/>
      <c r="H72" s="37"/>
      <c r="I72" s="37"/>
      <c r="J72" s="37"/>
      <c r="K72" s="37"/>
      <c r="L72" s="37"/>
    </row>
    <row r="73" spans="3:13" s="105" customFormat="1" ht="19.5">
      <c r="C73" s="265" t="s">
        <v>333</v>
      </c>
      <c r="D73" s="265"/>
      <c r="E73" s="265"/>
      <c r="F73" s="265"/>
      <c r="G73" s="265"/>
      <c r="H73" s="37"/>
      <c r="I73" s="37"/>
      <c r="J73" s="37"/>
      <c r="K73" s="37"/>
      <c r="L73" s="37"/>
    </row>
    <row r="74" spans="3:13" s="105" customFormat="1" ht="19.5">
      <c r="C74" s="273" t="s">
        <v>334</v>
      </c>
      <c r="D74" s="273"/>
      <c r="E74" s="273"/>
      <c r="F74" s="37"/>
      <c r="G74" s="37"/>
      <c r="H74" s="37"/>
      <c r="I74" s="37"/>
      <c r="J74" s="37"/>
      <c r="K74" s="37"/>
      <c r="L74" s="37"/>
    </row>
    <row r="75" spans="3:13" s="105" customFormat="1" ht="42.75" customHeight="1">
      <c r="C75" s="267" t="s">
        <v>335</v>
      </c>
      <c r="D75" s="274" t="s">
        <v>336</v>
      </c>
      <c r="E75" s="274"/>
      <c r="F75" s="274"/>
      <c r="G75" s="274"/>
      <c r="H75" s="37"/>
      <c r="I75" s="37"/>
      <c r="J75" s="37"/>
      <c r="K75" s="37"/>
      <c r="L75" s="37"/>
    </row>
    <row r="76" spans="3:13" s="105" customFormat="1" ht="19.5">
      <c r="C76" s="149"/>
      <c r="D76" s="37"/>
      <c r="E76" s="37"/>
      <c r="F76" s="37"/>
      <c r="G76" s="37"/>
      <c r="H76" s="37"/>
      <c r="I76" s="37"/>
      <c r="J76" s="37"/>
      <c r="K76" s="37"/>
      <c r="L76" s="37"/>
    </row>
    <row r="77" spans="3:13" s="105" customFormat="1" ht="19.5">
      <c r="C77" s="135" t="s">
        <v>295</v>
      </c>
      <c r="D77" s="136" t="s">
        <v>296</v>
      </c>
      <c r="E77" s="136" t="s">
        <v>63</v>
      </c>
      <c r="F77" s="136" t="s">
        <v>59</v>
      </c>
      <c r="G77" s="136" t="s">
        <v>248</v>
      </c>
      <c r="H77" s="136" t="s">
        <v>297</v>
      </c>
      <c r="I77" s="37"/>
      <c r="J77" s="37"/>
      <c r="K77" s="37"/>
      <c r="L77" s="37"/>
    </row>
    <row r="78" spans="3:13" s="105" customFormat="1" ht="122.25" customHeight="1">
      <c r="C78" s="25" t="s">
        <v>337</v>
      </c>
      <c r="D78" s="137" t="s">
        <v>338</v>
      </c>
      <c r="E78" s="137"/>
      <c r="F78" s="138" t="s">
        <v>339</v>
      </c>
      <c r="G78" s="139"/>
      <c r="H78" s="157" t="s">
        <v>301</v>
      </c>
      <c r="I78" s="37"/>
      <c r="J78" s="37"/>
      <c r="K78" s="37"/>
      <c r="L78" s="37"/>
    </row>
    <row r="79" spans="3:13" s="105" customFormat="1" ht="19.5">
      <c r="C79" s="140"/>
      <c r="D79" s="141" t="s">
        <v>340</v>
      </c>
      <c r="E79" s="141"/>
      <c r="F79" s="37"/>
      <c r="G79" s="143"/>
      <c r="H79" s="158" t="s">
        <v>341</v>
      </c>
      <c r="I79" s="37"/>
      <c r="J79" s="37"/>
      <c r="K79" s="37"/>
      <c r="L79" s="37"/>
    </row>
    <row r="80" spans="3:13" s="105" customFormat="1" ht="19.5">
      <c r="C80" s="140"/>
      <c r="D80" s="141" t="s">
        <v>342</v>
      </c>
      <c r="E80" s="141"/>
      <c r="F80" s="142" t="s">
        <v>303</v>
      </c>
      <c r="G80" s="143"/>
      <c r="H80" s="141"/>
      <c r="I80" s="37"/>
      <c r="J80" s="37"/>
      <c r="K80" s="37"/>
      <c r="L80" s="37"/>
    </row>
    <row r="81" spans="3:12" s="105" customFormat="1" ht="19.5">
      <c r="C81" s="140"/>
      <c r="D81" s="132"/>
      <c r="E81" s="159"/>
      <c r="F81" s="159"/>
      <c r="G81" s="132"/>
      <c r="H81" s="37"/>
      <c r="I81" s="37"/>
      <c r="J81" s="37"/>
      <c r="K81" s="37"/>
      <c r="L81" s="37"/>
    </row>
    <row r="82" spans="3:12" s="105" customFormat="1" ht="19.5">
      <c r="C82" s="140"/>
      <c r="D82" s="132"/>
      <c r="E82" s="159"/>
      <c r="F82" s="159"/>
      <c r="G82" s="132"/>
      <c r="H82" s="37"/>
      <c r="I82" s="37"/>
      <c r="J82" s="37"/>
      <c r="K82" s="37"/>
      <c r="L82" s="37"/>
    </row>
    <row r="83" spans="3:12" s="105" customFormat="1" ht="19.5">
      <c r="C83" s="145" t="s">
        <v>343</v>
      </c>
      <c r="D83" s="132"/>
      <c r="E83" s="159"/>
      <c r="F83" s="159"/>
      <c r="G83" s="132"/>
      <c r="H83" s="37"/>
      <c r="I83" s="37"/>
      <c r="J83" s="37"/>
      <c r="K83" s="37"/>
    </row>
    <row r="84" spans="3:12" s="105" customFormat="1" ht="19.5">
      <c r="C84" s="145" t="s">
        <v>306</v>
      </c>
      <c r="D84" s="37"/>
      <c r="E84" s="37"/>
      <c r="F84" s="37"/>
      <c r="G84" s="37"/>
      <c r="H84" s="37"/>
      <c r="I84" s="37"/>
    </row>
    <row r="85" spans="3:12" s="105" customFormat="1" ht="19.5">
      <c r="C85" s="135" t="s">
        <v>295</v>
      </c>
      <c r="D85" s="136" t="s">
        <v>307</v>
      </c>
      <c r="E85" s="136" t="s">
        <v>308</v>
      </c>
      <c r="F85" s="136" t="s">
        <v>63</v>
      </c>
      <c r="G85" s="136" t="s">
        <v>59</v>
      </c>
      <c r="H85" s="136" t="s">
        <v>297</v>
      </c>
      <c r="I85" s="37"/>
    </row>
    <row r="86" spans="3:12" s="105" customFormat="1" ht="188.25" customHeight="1">
      <c r="C86" s="146" t="s">
        <v>309</v>
      </c>
      <c r="D86" s="137"/>
      <c r="E86" s="147" t="s">
        <v>344</v>
      </c>
      <c r="F86" s="137" t="s">
        <v>345</v>
      </c>
      <c r="G86" s="137"/>
      <c r="H86" s="170" t="s">
        <v>346</v>
      </c>
      <c r="I86" s="37"/>
    </row>
    <row r="87" spans="3:12" s="105" customFormat="1" ht="19.5">
      <c r="C87" s="37"/>
      <c r="D87" s="132"/>
      <c r="E87" s="132"/>
      <c r="F87" s="141" t="s">
        <v>347</v>
      </c>
      <c r="G87" s="132"/>
      <c r="H87" s="37"/>
      <c r="I87" s="37"/>
    </row>
    <row r="88" spans="3:12" s="105" customFormat="1" ht="19.5">
      <c r="C88" s="145" t="s">
        <v>315</v>
      </c>
      <c r="D88" s="37"/>
      <c r="E88" s="37"/>
      <c r="F88" s="37"/>
      <c r="G88" s="37"/>
      <c r="H88" s="37"/>
      <c r="I88" s="37"/>
    </row>
    <row r="89" spans="3:12" s="105" customFormat="1" ht="19.5">
      <c r="C89" s="135" t="s">
        <v>295</v>
      </c>
      <c r="D89" s="136" t="s">
        <v>316</v>
      </c>
      <c r="E89" s="136" t="s">
        <v>317</v>
      </c>
      <c r="F89" s="136" t="s">
        <v>63</v>
      </c>
      <c r="G89" s="136" t="s">
        <v>59</v>
      </c>
      <c r="H89" s="171" t="s">
        <v>297</v>
      </c>
      <c r="I89" s="37"/>
    </row>
    <row r="90" spans="3:12" s="105" customFormat="1" ht="58.5">
      <c r="C90" s="20" t="s">
        <v>318</v>
      </c>
      <c r="D90" s="137"/>
      <c r="E90" s="152"/>
      <c r="F90" s="152"/>
      <c r="G90" s="137"/>
      <c r="H90" s="160" t="s">
        <v>348</v>
      </c>
      <c r="I90" s="37"/>
      <c r="J90" s="37"/>
      <c r="K90" s="37"/>
      <c r="L90" s="37"/>
    </row>
    <row r="91" spans="3:12" s="105" customFormat="1" ht="19.5">
      <c r="C91" s="33"/>
      <c r="D91" s="141"/>
      <c r="E91" s="150"/>
      <c r="F91" s="150"/>
      <c r="G91" s="141"/>
      <c r="H91" s="161"/>
      <c r="I91" s="37"/>
      <c r="J91" s="37"/>
      <c r="K91" s="37"/>
      <c r="L91" s="37"/>
    </row>
    <row r="92" spans="3:12" s="105" customFormat="1" ht="19.5">
      <c r="C92" s="33"/>
      <c r="D92" s="33"/>
      <c r="E92" s="33"/>
      <c r="F92" s="33"/>
      <c r="G92" s="33"/>
      <c r="H92" s="33"/>
      <c r="I92" s="37"/>
      <c r="L92" s="37"/>
    </row>
    <row r="93" spans="3:12" s="105" customFormat="1" ht="19.5">
      <c r="C93" s="145"/>
      <c r="D93" s="132"/>
      <c r="E93" s="159"/>
      <c r="F93" s="159"/>
      <c r="G93" s="132"/>
      <c r="H93" s="37"/>
      <c r="I93" s="37"/>
      <c r="J93" s="33"/>
      <c r="K93" s="37"/>
      <c r="L93" s="37"/>
    </row>
    <row r="94" spans="3:12" s="105" customFormat="1" ht="19.5">
      <c r="C94" s="145" t="s">
        <v>320</v>
      </c>
      <c r="D94" s="37"/>
      <c r="E94" s="37"/>
      <c r="F94" s="37"/>
      <c r="G94" s="37"/>
      <c r="H94" s="33"/>
      <c r="I94" s="37"/>
      <c r="J94" s="33"/>
      <c r="K94" s="37"/>
      <c r="L94" s="37"/>
    </row>
    <row r="95" spans="3:12" s="105" customFormat="1" ht="19.5">
      <c r="C95" s="135" t="s">
        <v>295</v>
      </c>
      <c r="D95" s="136" t="s">
        <v>63</v>
      </c>
      <c r="E95" s="136" t="s">
        <v>59</v>
      </c>
      <c r="F95" s="136" t="s">
        <v>248</v>
      </c>
      <c r="G95" s="136" t="s">
        <v>297</v>
      </c>
      <c r="H95" s="168" t="s">
        <v>349</v>
      </c>
      <c r="I95" s="37"/>
      <c r="J95" s="33"/>
      <c r="K95" s="37"/>
      <c r="L95" s="37"/>
    </row>
    <row r="96" spans="3:12" s="105" customFormat="1" ht="19.5">
      <c r="C96" s="20" t="s">
        <v>321</v>
      </c>
      <c r="D96" s="137" t="s">
        <v>350</v>
      </c>
      <c r="E96" s="137"/>
      <c r="F96" s="137">
        <v>760</v>
      </c>
      <c r="G96" s="137"/>
      <c r="H96" s="169">
        <v>760</v>
      </c>
      <c r="I96" s="37"/>
      <c r="J96" s="33"/>
      <c r="K96" s="37"/>
      <c r="L96" s="37"/>
    </row>
    <row r="97" spans="3:12" s="105" customFormat="1" ht="19.5">
      <c r="C97" s="20"/>
      <c r="D97" s="137" t="s">
        <v>351</v>
      </c>
      <c r="E97" s="137"/>
      <c r="F97" s="137">
        <v>760</v>
      </c>
      <c r="G97" s="137"/>
      <c r="H97" s="169">
        <v>760</v>
      </c>
      <c r="I97" s="37"/>
      <c r="J97" s="33"/>
      <c r="K97" s="37"/>
      <c r="L97" s="37"/>
    </row>
    <row r="98" spans="3:12" s="105" customFormat="1" ht="19.5">
      <c r="C98" s="20" t="s">
        <v>70</v>
      </c>
      <c r="D98" s="137" t="s">
        <v>352</v>
      </c>
      <c r="E98" s="137"/>
      <c r="F98" s="137">
        <v>1893</v>
      </c>
      <c r="G98" s="137"/>
      <c r="H98" s="169">
        <v>1893</v>
      </c>
      <c r="I98" s="37"/>
      <c r="J98" s="33"/>
      <c r="K98" s="37"/>
      <c r="L98" s="37"/>
    </row>
    <row r="99" spans="3:12" s="105" customFormat="1" ht="19.5">
      <c r="C99" s="33"/>
      <c r="D99" s="141" t="s">
        <v>353</v>
      </c>
      <c r="E99" s="141"/>
      <c r="F99" s="141">
        <v>1583</v>
      </c>
      <c r="G99" s="141"/>
      <c r="H99" s="169">
        <v>1583</v>
      </c>
      <c r="I99" s="37"/>
      <c r="J99" s="33"/>
      <c r="K99" s="37"/>
      <c r="L99" s="37"/>
    </row>
    <row r="100" spans="3:12" s="105" customFormat="1" ht="19.5">
      <c r="C100" s="37"/>
      <c r="D100" s="37"/>
      <c r="E100" s="33"/>
      <c r="F100" s="37"/>
      <c r="G100" s="37"/>
      <c r="H100" s="37"/>
      <c r="I100" s="37"/>
      <c r="J100" s="33"/>
      <c r="K100" s="37"/>
      <c r="L100" s="37"/>
    </row>
    <row r="101" spans="3:12" s="105" customFormat="1" ht="19.5">
      <c r="C101" s="145" t="s">
        <v>328</v>
      </c>
      <c r="D101" s="37"/>
      <c r="E101" s="37"/>
      <c r="F101" s="37"/>
      <c r="G101" s="37"/>
      <c r="H101" s="33"/>
      <c r="I101" s="37"/>
      <c r="J101" s="33"/>
      <c r="K101" s="37"/>
      <c r="L101" s="37"/>
    </row>
    <row r="102" spans="3:12" s="105" customFormat="1" ht="19.5">
      <c r="C102" s="135" t="s">
        <v>295</v>
      </c>
      <c r="D102" s="136" t="s">
        <v>63</v>
      </c>
      <c r="E102" s="136" t="s">
        <v>59</v>
      </c>
      <c r="F102" s="136" t="s">
        <v>248</v>
      </c>
      <c r="G102" s="136" t="s">
        <v>297</v>
      </c>
      <c r="H102" s="33"/>
      <c r="I102" s="33"/>
      <c r="J102" s="33"/>
      <c r="K102" s="37"/>
      <c r="L102" s="37"/>
    </row>
    <row r="103" spans="3:12" s="105" customFormat="1" ht="167.25" customHeight="1">
      <c r="C103" s="20" t="s">
        <v>329</v>
      </c>
      <c r="D103" s="153" t="s">
        <v>354</v>
      </c>
      <c r="E103" s="137"/>
      <c r="F103" s="137">
        <v>12</v>
      </c>
      <c r="G103" s="137">
        <f>12*9</f>
        <v>108</v>
      </c>
      <c r="H103" s="33"/>
      <c r="I103" s="33"/>
      <c r="L103" s="37"/>
    </row>
    <row r="104" spans="3:12" s="105" customFormat="1" ht="58.5">
      <c r="C104" s="20" t="s">
        <v>331</v>
      </c>
      <c r="D104" s="137" t="s">
        <v>355</v>
      </c>
      <c r="E104" s="137"/>
      <c r="F104" s="137"/>
      <c r="G104" s="137"/>
      <c r="H104" s="33"/>
      <c r="I104" s="33"/>
      <c r="J104" s="33"/>
      <c r="K104" s="37"/>
      <c r="L104" s="37"/>
    </row>
    <row r="105" spans="3:12" s="105" customFormat="1" ht="19.5">
      <c r="C105" s="145"/>
      <c r="D105" s="132"/>
      <c r="E105" s="159"/>
      <c r="F105" s="159"/>
      <c r="G105" s="132"/>
      <c r="H105" s="37"/>
      <c r="I105" s="37"/>
      <c r="J105" s="37"/>
      <c r="K105" s="37"/>
      <c r="L105" s="37"/>
    </row>
    <row r="106" spans="3:12" s="105" customFormat="1" ht="20.100000000000001" thickBot="1">
      <c r="C106" s="156" t="s">
        <v>356</v>
      </c>
      <c r="D106" s="132"/>
      <c r="E106" s="132"/>
      <c r="F106" s="132"/>
      <c r="G106" s="132"/>
      <c r="H106" s="37"/>
      <c r="I106" s="37"/>
      <c r="J106" s="37"/>
      <c r="K106" s="37"/>
      <c r="L106" s="37"/>
    </row>
    <row r="107" spans="3:12" s="105" customFormat="1" ht="38.25" customHeight="1">
      <c r="C107" s="265" t="s">
        <v>357</v>
      </c>
      <c r="D107" s="265"/>
      <c r="E107" s="265"/>
      <c r="F107" s="265"/>
      <c r="G107" s="265"/>
      <c r="H107" s="37"/>
      <c r="I107" s="37"/>
      <c r="J107" s="37"/>
      <c r="K107" s="37"/>
      <c r="L107" s="37"/>
    </row>
    <row r="108" spans="3:12" s="105" customFormat="1" ht="19.5">
      <c r="C108" s="275" t="s">
        <v>358</v>
      </c>
      <c r="D108" s="275"/>
      <c r="E108" s="275"/>
      <c r="F108" s="275"/>
      <c r="G108" s="275"/>
      <c r="H108" s="37"/>
      <c r="I108" s="37"/>
      <c r="J108" s="37"/>
      <c r="K108" s="37"/>
      <c r="L108" s="37"/>
    </row>
    <row r="109" spans="3:12" s="105" customFormat="1" ht="19.5">
      <c r="C109" s="37"/>
      <c r="D109" s="132"/>
      <c r="E109" s="132"/>
      <c r="F109" s="132"/>
      <c r="G109" s="132"/>
      <c r="H109" s="37"/>
      <c r="I109" s="37"/>
      <c r="J109" s="37"/>
      <c r="K109" s="37"/>
      <c r="L109" s="37"/>
    </row>
    <row r="110" spans="3:12" s="105" customFormat="1" ht="19.5">
      <c r="C110" s="37"/>
      <c r="D110" s="132"/>
      <c r="E110" s="132"/>
      <c r="F110" s="132"/>
      <c r="G110" s="132"/>
      <c r="H110" s="37"/>
      <c r="I110" s="37"/>
      <c r="J110" s="37"/>
      <c r="K110" s="37"/>
      <c r="L110" s="37"/>
    </row>
    <row r="111" spans="3:12" s="105" customFormat="1" ht="20.100000000000001" thickBot="1">
      <c r="C111" s="272" t="s">
        <v>359</v>
      </c>
      <c r="D111" s="272"/>
      <c r="E111" s="272"/>
      <c r="F111" s="132"/>
      <c r="G111" s="132"/>
      <c r="H111" s="37"/>
      <c r="I111" s="37"/>
      <c r="J111" s="37"/>
      <c r="K111" s="37"/>
      <c r="L111" s="37"/>
    </row>
    <row r="112" spans="3:12" s="105" customFormat="1" ht="53.25" customHeight="1">
      <c r="C112" s="265" t="s">
        <v>360</v>
      </c>
      <c r="D112" s="265"/>
      <c r="E112" s="265"/>
      <c r="F112" s="265"/>
      <c r="G112" s="265"/>
      <c r="H112" s="37"/>
      <c r="I112" s="37"/>
      <c r="J112" s="37"/>
      <c r="K112" s="37"/>
      <c r="L112" s="37"/>
    </row>
    <row r="113" spans="3:12" s="105" customFormat="1" ht="39">
      <c r="C113" s="135" t="s">
        <v>361</v>
      </c>
      <c r="D113" s="135" t="s">
        <v>362</v>
      </c>
      <c r="E113" s="135" t="s">
        <v>363</v>
      </c>
      <c r="F113" s="135" t="s">
        <v>364</v>
      </c>
      <c r="G113" s="135" t="s">
        <v>365</v>
      </c>
      <c r="H113" s="135" t="s">
        <v>59</v>
      </c>
      <c r="I113" s="135"/>
      <c r="J113" s="135" t="s">
        <v>248</v>
      </c>
      <c r="K113" s="135" t="s">
        <v>297</v>
      </c>
      <c r="L113" s="37"/>
    </row>
    <row r="114" spans="3:12" s="105" customFormat="1" ht="57.4" customHeight="1">
      <c r="C114" s="269" t="s">
        <v>366</v>
      </c>
      <c r="D114" s="270"/>
      <c r="E114" s="270"/>
      <c r="F114" s="270"/>
      <c r="G114" s="270"/>
      <c r="H114" s="270"/>
      <c r="I114" s="270"/>
      <c r="J114" s="270"/>
      <c r="K114" s="271"/>
      <c r="L114" s="37"/>
    </row>
    <row r="115" spans="3:12" s="105" customFormat="1" ht="57.4" customHeight="1">
      <c r="C115" s="162" t="s">
        <v>367</v>
      </c>
      <c r="D115" s="163" t="s">
        <v>368</v>
      </c>
      <c r="E115" s="163"/>
      <c r="F115" s="163" t="s">
        <v>369</v>
      </c>
      <c r="G115" s="163" t="s">
        <v>370</v>
      </c>
      <c r="H115" s="163">
        <v>1</v>
      </c>
      <c r="I115" s="163"/>
      <c r="J115" s="163" t="s">
        <v>371</v>
      </c>
      <c r="K115" s="164"/>
      <c r="L115" s="37"/>
    </row>
    <row r="116" spans="3:12" s="105" customFormat="1" ht="57.4" customHeight="1">
      <c r="C116" s="162" t="s">
        <v>372</v>
      </c>
      <c r="D116" s="163" t="s">
        <v>368</v>
      </c>
      <c r="E116" s="163"/>
      <c r="F116" s="163" t="s">
        <v>369</v>
      </c>
      <c r="G116" s="163" t="s">
        <v>370</v>
      </c>
      <c r="H116" s="163">
        <v>1</v>
      </c>
      <c r="I116" s="163"/>
      <c r="J116" s="163" t="s">
        <v>371</v>
      </c>
      <c r="K116" s="164"/>
      <c r="L116" s="37"/>
    </row>
    <row r="117" spans="3:12" s="105" customFormat="1" ht="57.4" customHeight="1">
      <c r="C117" s="162" t="s">
        <v>372</v>
      </c>
      <c r="D117" s="163" t="s">
        <v>368</v>
      </c>
      <c r="E117" s="163"/>
      <c r="F117" s="163" t="s">
        <v>369</v>
      </c>
      <c r="G117" s="163" t="s">
        <v>370</v>
      </c>
      <c r="H117" s="163">
        <v>1</v>
      </c>
      <c r="I117" s="163"/>
      <c r="J117" s="163" t="s">
        <v>371</v>
      </c>
      <c r="K117" s="164"/>
      <c r="L117" s="37"/>
    </row>
    <row r="118" spans="3:12" s="105" customFormat="1" ht="57.4" customHeight="1">
      <c r="C118" s="162" t="s">
        <v>373</v>
      </c>
      <c r="D118" s="163" t="s">
        <v>368</v>
      </c>
      <c r="E118" s="163"/>
      <c r="F118" s="163" t="s">
        <v>374</v>
      </c>
      <c r="G118" s="163" t="s">
        <v>370</v>
      </c>
      <c r="H118" s="163">
        <v>1</v>
      </c>
      <c r="I118" s="163"/>
      <c r="J118" s="163" t="s">
        <v>375</v>
      </c>
      <c r="K118" s="164"/>
      <c r="L118" s="37"/>
    </row>
    <row r="119" spans="3:12" s="105" customFormat="1" ht="57.4" customHeight="1">
      <c r="C119" s="20" t="s">
        <v>376</v>
      </c>
      <c r="D119" s="163"/>
      <c r="E119" s="163"/>
      <c r="F119" s="163"/>
      <c r="G119" s="163"/>
      <c r="H119" s="163"/>
      <c r="I119" s="163"/>
      <c r="J119" s="163"/>
      <c r="K119" s="164" t="s">
        <v>377</v>
      </c>
      <c r="L119" s="37"/>
    </row>
    <row r="120" spans="3:12" s="105" customFormat="1" ht="39">
      <c r="C120" s="20" t="s">
        <v>378</v>
      </c>
      <c r="D120" s="137"/>
      <c r="E120" s="165" t="s">
        <v>379</v>
      </c>
      <c r="F120" s="165" t="s">
        <v>380</v>
      </c>
      <c r="G120" s="165" t="s">
        <v>381</v>
      </c>
      <c r="H120" s="139"/>
      <c r="I120" s="139"/>
      <c r="J120" s="139"/>
      <c r="K120" s="137"/>
      <c r="L120" s="37"/>
    </row>
    <row r="121" spans="3:12" s="105" customFormat="1" ht="39">
      <c r="C121" s="20" t="s">
        <v>382</v>
      </c>
      <c r="D121" s="137"/>
      <c r="E121" s="165" t="s">
        <v>379</v>
      </c>
      <c r="F121" s="165" t="s">
        <v>380</v>
      </c>
      <c r="G121" s="165" t="s">
        <v>381</v>
      </c>
      <c r="H121" s="139"/>
      <c r="I121" s="139"/>
      <c r="J121" s="139"/>
      <c r="K121" s="137"/>
      <c r="L121" s="37"/>
    </row>
    <row r="122" spans="3:12" s="105" customFormat="1" ht="39">
      <c r="C122" s="20" t="s">
        <v>383</v>
      </c>
      <c r="D122" s="137"/>
      <c r="E122" s="165" t="s">
        <v>379</v>
      </c>
      <c r="F122" s="165" t="s">
        <v>380</v>
      </c>
      <c r="G122" s="165" t="s">
        <v>381</v>
      </c>
      <c r="H122" s="139"/>
      <c r="I122" s="139"/>
      <c r="J122" s="139"/>
      <c r="K122" s="137"/>
      <c r="L122" s="37"/>
    </row>
    <row r="123" spans="3:12" s="105" customFormat="1" ht="39">
      <c r="C123" s="20" t="s">
        <v>384</v>
      </c>
      <c r="D123" s="137"/>
      <c r="E123" s="165" t="s">
        <v>379</v>
      </c>
      <c r="F123" s="165" t="s">
        <v>380</v>
      </c>
      <c r="G123" s="165" t="s">
        <v>381</v>
      </c>
      <c r="H123" s="139"/>
      <c r="I123" s="139"/>
      <c r="J123" s="139"/>
      <c r="K123" s="137"/>
      <c r="L123" s="37"/>
    </row>
    <row r="124" spans="3:12" s="105" customFormat="1" ht="19.5">
      <c r="C124" s="20" t="s">
        <v>376</v>
      </c>
      <c r="D124" s="137"/>
      <c r="E124" s="165" t="s">
        <v>379</v>
      </c>
      <c r="F124" s="165" t="s">
        <v>380</v>
      </c>
      <c r="G124" s="165" t="s">
        <v>381</v>
      </c>
      <c r="H124" s="139"/>
      <c r="I124" s="139"/>
      <c r="J124" s="139"/>
      <c r="K124" s="137"/>
      <c r="L124" s="37"/>
    </row>
    <row r="125" spans="3:12" s="105" customFormat="1" ht="19.5">
      <c r="C125" s="20" t="s">
        <v>385</v>
      </c>
      <c r="D125" s="137"/>
      <c r="E125" s="165" t="s">
        <v>379</v>
      </c>
      <c r="F125" s="165" t="s">
        <v>380</v>
      </c>
      <c r="G125" s="165" t="s">
        <v>381</v>
      </c>
      <c r="H125" s="139"/>
      <c r="I125" s="139"/>
      <c r="J125" s="139"/>
      <c r="K125" s="137"/>
      <c r="L125" s="37"/>
    </row>
    <row r="126" spans="3:12" s="105" customFormat="1" ht="39">
      <c r="C126" s="166" t="s">
        <v>386</v>
      </c>
      <c r="D126" s="167"/>
      <c r="E126" s="167"/>
      <c r="F126" s="165"/>
      <c r="G126" s="167"/>
      <c r="H126" s="137"/>
      <c r="I126" s="137"/>
      <c r="J126" s="137"/>
      <c r="K126" s="137"/>
      <c r="L126" s="37"/>
    </row>
    <row r="127" spans="3:12" s="105" customFormat="1" ht="19.5">
      <c r="C127" s="37"/>
      <c r="D127" s="132"/>
      <c r="E127" s="132"/>
      <c r="F127" s="132"/>
      <c r="G127" s="132"/>
      <c r="H127" s="37"/>
      <c r="I127" s="37"/>
      <c r="J127" s="37"/>
      <c r="K127" s="37"/>
      <c r="L127" s="37"/>
    </row>
    <row r="132" spans="3:3" ht="19.5">
      <c r="C132" s="3" t="s">
        <v>292</v>
      </c>
    </row>
    <row r="133" spans="3:3" ht="19.5"/>
    <row r="134" spans="3:3" ht="19.5"/>
    <row r="135" spans="3:3" ht="19.5"/>
    <row r="136" spans="3:3" ht="19.5"/>
    <row r="137" spans="3:3" ht="19.5"/>
    <row r="138" spans="3:3" ht="19.5"/>
    <row r="139" spans="3:3" ht="19.5"/>
    <row r="140" spans="3:3" ht="19.5"/>
    <row r="141" spans="3:3" ht="19.5"/>
    <row r="142" spans="3:3" ht="19.5"/>
  </sheetData>
  <mergeCells count="22">
    <mergeCell ref="B13:B20"/>
    <mergeCell ref="B21:B26"/>
    <mergeCell ref="F21:F23"/>
    <mergeCell ref="F13:F15"/>
    <mergeCell ref="C112:G112"/>
    <mergeCell ref="C114:K114"/>
    <mergeCell ref="C111:E111"/>
    <mergeCell ref="C73:G73"/>
    <mergeCell ref="C74:E74"/>
    <mergeCell ref="C75:G75"/>
    <mergeCell ref="C107:G107"/>
    <mergeCell ref="C108:G108"/>
    <mergeCell ref="H45:H46"/>
    <mergeCell ref="C32:F32"/>
    <mergeCell ref="D33:G33"/>
    <mergeCell ref="D34:G34"/>
    <mergeCell ref="D35:G35"/>
    <mergeCell ref="D36:G36"/>
    <mergeCell ref="D37:G37"/>
    <mergeCell ref="C40:G40"/>
    <mergeCell ref="C41:E41"/>
    <mergeCell ref="C42:G4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F8EF-C524-4943-8FAE-87B37D61A5EA}">
  <sheetPr>
    <tabColor rgb="FF183C73"/>
  </sheetPr>
  <dimension ref="B2:F23"/>
  <sheetViews>
    <sheetView workbookViewId="0">
      <selection activeCell="D11" sqref="D11"/>
    </sheetView>
  </sheetViews>
  <sheetFormatPr defaultRowHeight="19.5"/>
  <cols>
    <col min="2" max="2" width="30" style="3" customWidth="1"/>
    <col min="3" max="3" width="39.375" style="3" customWidth="1"/>
    <col min="4" max="4" width="21.75" style="3" customWidth="1"/>
    <col min="5" max="5" width="9.75" style="3" customWidth="1"/>
    <col min="6" max="6" width="25.25" style="3" customWidth="1"/>
    <col min="7" max="7" width="17" customWidth="1"/>
    <col min="8" max="8" width="17.625" customWidth="1"/>
    <col min="9" max="9" width="16.125" customWidth="1"/>
    <col min="10" max="10" width="15.375" customWidth="1"/>
  </cols>
  <sheetData>
    <row r="2" spans="2:6" ht="15.6" customHeight="1">
      <c r="B2" s="76" t="s">
        <v>209</v>
      </c>
    </row>
    <row r="3" spans="2:6">
      <c r="B3" s="77" t="s">
        <v>210</v>
      </c>
    </row>
    <row r="4" spans="2:6">
      <c r="B4" s="69" t="s">
        <v>57</v>
      </c>
    </row>
    <row r="6" spans="2:6">
      <c r="B6" s="74" t="s">
        <v>387</v>
      </c>
      <c r="C6" s="74" t="s">
        <v>388</v>
      </c>
      <c r="D6" s="74" t="s">
        <v>63</v>
      </c>
      <c r="E6" s="74" t="s">
        <v>59</v>
      </c>
      <c r="F6" s="75" t="s">
        <v>247</v>
      </c>
    </row>
    <row r="7" spans="2:6">
      <c r="B7" s="30" t="s">
        <v>69</v>
      </c>
      <c r="C7" s="30" t="s">
        <v>389</v>
      </c>
      <c r="D7" s="78">
        <f>'Data request'!D12</f>
        <v>3.3266666666666667</v>
      </c>
      <c r="E7" s="216" t="s">
        <v>390</v>
      </c>
      <c r="F7" s="30"/>
    </row>
    <row r="8" spans="2:6">
      <c r="B8" s="30" t="s">
        <v>69</v>
      </c>
      <c r="C8" s="30" t="s">
        <v>391</v>
      </c>
      <c r="D8" s="79">
        <f>AVERAGE('Data request'!D16:D17)</f>
        <v>1010</v>
      </c>
      <c r="E8" s="216" t="s">
        <v>80</v>
      </c>
      <c r="F8" s="253" t="s">
        <v>392</v>
      </c>
    </row>
    <row r="9" spans="2:6">
      <c r="B9" s="30" t="s">
        <v>69</v>
      </c>
      <c r="C9" s="30" t="s">
        <v>393</v>
      </c>
      <c r="D9" s="78">
        <f>'Data request'!D20</f>
        <v>522</v>
      </c>
      <c r="E9" s="216" t="s">
        <v>394</v>
      </c>
      <c r="F9" s="254"/>
    </row>
    <row r="10" spans="2:6">
      <c r="B10" s="30" t="s">
        <v>69</v>
      </c>
      <c r="C10" s="30" t="s">
        <v>70</v>
      </c>
      <c r="D10" s="79">
        <f>AVERAGE('Data request'!D18:D19)</f>
        <v>3350</v>
      </c>
      <c r="E10" s="216" t="s">
        <v>395</v>
      </c>
      <c r="F10" s="254"/>
    </row>
    <row r="11" spans="2:6">
      <c r="B11" s="30" t="s">
        <v>69</v>
      </c>
      <c r="C11" s="30" t="s">
        <v>72</v>
      </c>
      <c r="D11" s="79">
        <f>AVERAGE('Data request'!D13:D15)*1000</f>
        <v>10666.666666666666</v>
      </c>
      <c r="E11" s="216" t="s">
        <v>73</v>
      </c>
      <c r="F11" s="254"/>
    </row>
    <row r="12" spans="2:6">
      <c r="B12" s="30" t="s">
        <v>69</v>
      </c>
      <c r="C12" s="30" t="s">
        <v>391</v>
      </c>
      <c r="D12" s="79">
        <f>$D$7*D8</f>
        <v>3359.9333333333334</v>
      </c>
      <c r="E12" s="216" t="s">
        <v>89</v>
      </c>
      <c r="F12" s="254"/>
    </row>
    <row r="13" spans="2:6">
      <c r="B13" s="30" t="s">
        <v>69</v>
      </c>
      <c r="C13" s="30" t="s">
        <v>393</v>
      </c>
      <c r="D13" s="79">
        <f>D9</f>
        <v>522</v>
      </c>
      <c r="E13" s="216" t="s">
        <v>394</v>
      </c>
      <c r="F13" s="254"/>
    </row>
    <row r="14" spans="2:6">
      <c r="B14" s="217" t="s">
        <v>273</v>
      </c>
      <c r="C14" s="217" t="s">
        <v>396</v>
      </c>
      <c r="D14" s="218">
        <f>'Data request'!D24</f>
        <v>760</v>
      </c>
      <c r="E14" s="219" t="s">
        <v>80</v>
      </c>
      <c r="F14" s="247" t="s">
        <v>397</v>
      </c>
    </row>
    <row r="15" spans="2:6">
      <c r="B15" s="30" t="s">
        <v>273</v>
      </c>
      <c r="C15" s="30" t="s">
        <v>393</v>
      </c>
      <c r="D15" s="78">
        <f>'Data request'!D26</f>
        <v>108</v>
      </c>
      <c r="E15" s="216" t="s">
        <v>394</v>
      </c>
      <c r="F15" s="247"/>
    </row>
    <row r="16" spans="2:6">
      <c r="B16" s="30" t="s">
        <v>273</v>
      </c>
      <c r="C16" s="30" t="s">
        <v>70</v>
      </c>
      <c r="D16" s="79">
        <f>'Data request'!D25</f>
        <v>1738</v>
      </c>
      <c r="E16" s="216" t="s">
        <v>81</v>
      </c>
      <c r="F16" s="247"/>
    </row>
    <row r="17" spans="2:6">
      <c r="B17" s="30" t="s">
        <v>273</v>
      </c>
      <c r="C17" s="30" t="s">
        <v>72</v>
      </c>
      <c r="D17" s="79">
        <f>AVERAGE('Data request'!D21:D23)*1000</f>
        <v>3333.3333333333335</v>
      </c>
      <c r="E17" s="216" t="s">
        <v>73</v>
      </c>
      <c r="F17" s="247"/>
    </row>
    <row r="18" spans="2:6">
      <c r="B18" s="30" t="s">
        <v>273</v>
      </c>
      <c r="C18" s="30" t="s">
        <v>391</v>
      </c>
      <c r="D18" s="79">
        <f>D14*$D$7</f>
        <v>2528.2666666666669</v>
      </c>
      <c r="E18" s="216" t="s">
        <v>89</v>
      </c>
      <c r="F18" s="247"/>
    </row>
    <row r="19" spans="2:6">
      <c r="B19" s="30" t="s">
        <v>273</v>
      </c>
      <c r="C19" s="30" t="s">
        <v>393</v>
      </c>
      <c r="D19" s="79">
        <f>D15</f>
        <v>108</v>
      </c>
      <c r="E19" s="216" t="s">
        <v>394</v>
      </c>
      <c r="F19" s="247"/>
    </row>
    <row r="22" spans="2:6">
      <c r="B22"/>
      <c r="C22"/>
      <c r="D22"/>
    </row>
    <row r="23" spans="2:6">
      <c r="B23"/>
      <c r="C23"/>
      <c r="D23"/>
    </row>
  </sheetData>
  <mergeCells count="2">
    <mergeCell ref="F8:F13"/>
    <mergeCell ref="F14:F19"/>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E5CB-62CE-4BB9-8F66-3241CEAB2B86}">
  <sheetPr>
    <tabColor rgb="FF002060"/>
  </sheetPr>
  <dimension ref="A2:I27"/>
  <sheetViews>
    <sheetView tabSelected="1" zoomScale="70" zoomScaleNormal="70" workbookViewId="0">
      <selection activeCell="B6" sqref="B6:C6"/>
    </sheetView>
  </sheetViews>
  <sheetFormatPr defaultRowHeight="19.5"/>
  <cols>
    <col min="1" max="1" width="8.625" style="3"/>
    <col min="2" max="2" width="42.875" style="3" customWidth="1"/>
    <col min="3" max="3" width="64.125" style="3" customWidth="1"/>
    <col min="4" max="4" width="44" style="3" customWidth="1"/>
    <col min="5" max="5" width="36.375" style="3" customWidth="1"/>
    <col min="6" max="6" width="22.125" style="3" customWidth="1"/>
    <col min="7" max="7" width="36.125" style="3" customWidth="1"/>
    <col min="8" max="8" width="65.875" style="3" customWidth="1"/>
    <col min="9" max="9" width="8.625" style="3"/>
  </cols>
  <sheetData>
    <row r="2" spans="2:4" ht="21">
      <c r="B2" s="65" t="s">
        <v>133</v>
      </c>
    </row>
    <row r="4" spans="2:4">
      <c r="B4" s="29" t="s">
        <v>398</v>
      </c>
      <c r="C4" s="29" t="s">
        <v>399</v>
      </c>
    </row>
    <row r="5" spans="2:4">
      <c r="B5" s="30" t="s">
        <v>400</v>
      </c>
      <c r="C5" s="73">
        <v>0.32200000000000001</v>
      </c>
    </row>
    <row r="6" spans="2:4">
      <c r="B6" s="281" t="s">
        <v>401</v>
      </c>
      <c r="C6" s="282"/>
    </row>
    <row r="7" spans="2:4">
      <c r="B7" s="173"/>
      <c r="C7" s="173"/>
    </row>
    <row r="9" spans="2:4">
      <c r="B9" s="64" t="s">
        <v>159</v>
      </c>
      <c r="C9" s="64" t="s">
        <v>402</v>
      </c>
      <c r="D9" s="64" t="s">
        <v>403</v>
      </c>
    </row>
    <row r="10" spans="2:4">
      <c r="B10" s="30" t="s">
        <v>159</v>
      </c>
      <c r="C10" s="30"/>
      <c r="D10" s="30">
        <f>0.15311/1000</f>
        <v>1.5311E-4</v>
      </c>
    </row>
    <row r="11" spans="2:4">
      <c r="B11" s="283" t="s">
        <v>404</v>
      </c>
      <c r="C11" s="284"/>
      <c r="D11" s="284"/>
    </row>
    <row r="13" spans="2:4">
      <c r="B13" s="174" t="s">
        <v>405</v>
      </c>
      <c r="C13" s="174" t="s">
        <v>402</v>
      </c>
      <c r="D13" s="174" t="s">
        <v>403</v>
      </c>
    </row>
    <row r="14" spans="2:4">
      <c r="B14" s="30" t="s">
        <v>406</v>
      </c>
      <c r="C14" s="30"/>
      <c r="D14" s="73">
        <v>2.6350992505124999</v>
      </c>
    </row>
    <row r="15" spans="2:4">
      <c r="B15" s="283" t="s">
        <v>404</v>
      </c>
      <c r="C15" s="284"/>
      <c r="D15" s="284"/>
    </row>
    <row r="17" spans="2:8">
      <c r="B17" s="174" t="s">
        <v>407</v>
      </c>
      <c r="C17" s="174" t="s">
        <v>402</v>
      </c>
      <c r="D17" s="174" t="s">
        <v>408</v>
      </c>
    </row>
    <row r="18" spans="2:8">
      <c r="B18" s="26" t="s">
        <v>409</v>
      </c>
      <c r="C18" s="26" t="s">
        <v>410</v>
      </c>
      <c r="D18" s="93">
        <f>24865.47556/1000</f>
        <v>24.86547556</v>
      </c>
    </row>
    <row r="19" spans="2:8">
      <c r="B19" s="26" t="s">
        <v>411</v>
      </c>
      <c r="C19" s="26" t="s">
        <v>410</v>
      </c>
      <c r="D19" s="94">
        <f>5647.94563/1000</f>
        <v>5.6479456300000006</v>
      </c>
    </row>
    <row r="20" spans="2:8">
      <c r="B20" s="26" t="s">
        <v>412</v>
      </c>
      <c r="C20" s="26" t="s">
        <v>410</v>
      </c>
      <c r="D20" s="73">
        <f>6308/1000</f>
        <v>6.3079999999999998</v>
      </c>
    </row>
    <row r="21" spans="2:8">
      <c r="B21" s="26" t="s">
        <v>413</v>
      </c>
      <c r="C21" s="26" t="s">
        <v>414</v>
      </c>
      <c r="D21" s="73">
        <f>3172.49932/1000</f>
        <v>3.17249932</v>
      </c>
    </row>
    <row r="22" spans="2:8">
      <c r="B22" s="26" t="s">
        <v>415</v>
      </c>
      <c r="C22" s="26" t="s">
        <v>416</v>
      </c>
      <c r="D22" s="73">
        <f>5141.88587/1000</f>
        <v>5.1418858700000003</v>
      </c>
    </row>
    <row r="23" spans="2:8">
      <c r="B23" s="283" t="s">
        <v>404</v>
      </c>
      <c r="C23" s="284"/>
      <c r="D23" s="284"/>
    </row>
    <row r="25" spans="2:8">
      <c r="B25" s="174" t="s">
        <v>417</v>
      </c>
      <c r="C25" s="174" t="s">
        <v>418</v>
      </c>
      <c r="D25" s="174" t="s">
        <v>419</v>
      </c>
      <c r="E25" s="174" t="s">
        <v>420</v>
      </c>
      <c r="F25" s="174" t="s">
        <v>421</v>
      </c>
      <c r="G25" s="174" t="s">
        <v>422</v>
      </c>
      <c r="H25" s="174" t="s">
        <v>423</v>
      </c>
    </row>
    <row r="26" spans="2:8">
      <c r="B26" s="26" t="s">
        <v>424</v>
      </c>
      <c r="C26" s="215">
        <f>6.41061/1000</f>
        <v>6.4106099999999997E-3</v>
      </c>
      <c r="D26" s="207">
        <v>0.308</v>
      </c>
      <c r="E26" s="214">
        <f>8.88386/1000</f>
        <v>8.8838600000000004E-3</v>
      </c>
      <c r="F26" s="207">
        <v>0.69199999999999995</v>
      </c>
      <c r="G26" s="211">
        <f>(C26*D26)+(E26*F26)</f>
        <v>8.1220990000000007E-3</v>
      </c>
      <c r="H26" s="210" t="s">
        <v>425</v>
      </c>
    </row>
    <row r="27" spans="2:8">
      <c r="B27" s="283" t="s">
        <v>404</v>
      </c>
      <c r="C27" s="284"/>
      <c r="D27" s="284"/>
    </row>
  </sheetData>
  <mergeCells count="5">
    <mergeCell ref="B6:C6"/>
    <mergeCell ref="B23:D23"/>
    <mergeCell ref="B11:D11"/>
    <mergeCell ref="B15:D15"/>
    <mergeCell ref="B27:D27"/>
  </mergeCells>
  <phoneticPr fontId="7" type="noConversion"/>
  <hyperlinks>
    <hyperlink ref="B6" r:id="rId1" display="https://ourworldindata.org/grapher/carbon-intensity-electricity?tab=table&amp;country=~GRC&amp;mapSelect=~GRC" xr:uid="{0AE248ED-729D-4002-8D80-470ECB765CC7}"/>
    <hyperlink ref="H26" r:id="rId2" display="https://www.eea.europa.eu/en/analysis/indicators/waste-recycling-in-europe" xr:uid="{FAFA7DF2-F719-4959-B2C8-9AF712EE476E}"/>
    <hyperlink ref="B11" r:id="rId3" display="https://view.officeapps.live.com/op/view.aspx?src=https%3A%2F%2Fassets.publishing.service.gov.uk%2Fmedia%2F6722567487df31a87d8c497e%2Fghg-conversion-factors-2024-full_set__for_advanced_users__v1_1.xlsx&amp;wdOrigin=BROWSELINK" xr:uid="{27C1CB76-507C-4061-A0C3-978D298C622B}"/>
    <hyperlink ref="B15" r:id="rId4" display="https://view.officeapps.live.com/op/view.aspx?src=https%3A%2F%2Fassets.publishing.service.gov.uk%2Fmedia%2F6722567487df31a87d8c497e%2Fghg-conversion-factors-2024-full_set__for_advanced_users__v1_1.xlsx&amp;wdOrigin=BROWSELINK" xr:uid="{575F1585-B363-47A3-9A5F-A031D989D08A}"/>
    <hyperlink ref="B23" r:id="rId5" display="https://view.officeapps.live.com/op/view.aspx?src=https%3A%2F%2Fassets.publishing.service.gov.uk%2Fmedia%2F6722567487df31a87d8c497e%2Fghg-conversion-factors-2024-full_set__for_advanced_users__v1_1.xlsx&amp;wdOrigin=BROWSELINK" xr:uid="{03B39B2E-BFE3-44E6-A758-36FEC51C3723}"/>
    <hyperlink ref="B27" r:id="rId6" display="https://view.officeapps.live.com/op/view.aspx?src=https%3A%2F%2Fassets.publishing.service.gov.uk%2Fmedia%2F6722567487df31a87d8c497e%2Fghg-conversion-factors-2024-full_set__for_advanced_users__v1_1.xlsx&amp;wdOrigin=BROWSELINK" xr:uid="{F5A4D8B0-6BD7-43D0-8225-F3B04BFCFE61}"/>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9884CFDACAA4A4391E63416A81F8F9C" ma:contentTypeVersion="13" ma:contentTypeDescription="Create a new document." ma:contentTypeScope="" ma:versionID="e9008accf46ca8563d2d2a2de20db013">
  <xsd:schema xmlns:xsd="http://www.w3.org/2001/XMLSchema" xmlns:xs="http://www.w3.org/2001/XMLSchema" xmlns:p="http://schemas.microsoft.com/office/2006/metadata/properties" xmlns:ns2="b9bdbf82-f34d-47d4-a4b8-414c81da163d" xmlns:ns3="f04c5165-4bd4-4c8a-a40e-5701edfc4e4f" targetNamespace="http://schemas.microsoft.com/office/2006/metadata/properties" ma:root="true" ma:fieldsID="468ccd572510d7ebc0e69b608f5dabec" ns2:_="" ns3:_="">
    <xsd:import namespace="b9bdbf82-f34d-47d4-a4b8-414c81da163d"/>
    <xsd:import namespace="f04c5165-4bd4-4c8a-a40e-5701edfc4e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TranslatedLang"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bf82-f34d-47d4-a4b8-414c81da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6b3755e-5856-4399-9d86-976471c2812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ranslatedLang" ma:index="19" nillable="true" ma:displayName="Translated Language" ma:internalName="TranslatedLang">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4c5165-4bd4-4c8a-a40e-5701edfc4e4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bc8f3db-0d25-4d0b-b0ab-548255e2df34}" ma:internalName="TaxCatchAll" ma:showField="CatchAllData" ma:web="f04c5165-4bd4-4c8a-a40e-5701edfc4e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04c5165-4bd4-4c8a-a40e-5701edfc4e4f" xsi:nil="true"/>
    <lcf76f155ced4ddcb4097134ff3c332f xmlns="b9bdbf82-f34d-47d4-a4b8-414c81da163d">
      <Terms xmlns="http://schemas.microsoft.com/office/infopath/2007/PartnerControls"/>
    </lcf76f155ced4ddcb4097134ff3c332f>
    <TranslatedLang xmlns="b9bdbf82-f34d-47d4-a4b8-414c81da163d" xsi:nil="true"/>
  </documentManagement>
</p:properties>
</file>

<file path=customXml/itemProps1.xml><?xml version="1.0" encoding="utf-8"?>
<ds:datastoreItem xmlns:ds="http://schemas.openxmlformats.org/officeDocument/2006/customXml" ds:itemID="{D97CFAE1-BBDA-4D83-B305-9ABA03F704D1}"/>
</file>

<file path=customXml/itemProps2.xml><?xml version="1.0" encoding="utf-8"?>
<ds:datastoreItem xmlns:ds="http://schemas.openxmlformats.org/officeDocument/2006/customXml" ds:itemID="{44DEF2B7-547E-4836-86CD-4CB619959C78}"/>
</file>

<file path=customXml/itemProps3.xml><?xml version="1.0" encoding="utf-8"?>
<ds:datastoreItem xmlns:ds="http://schemas.openxmlformats.org/officeDocument/2006/customXml" ds:itemID="{8823690A-85BF-4C4A-9C4C-417567B4A520}"/>
</file>

<file path=docMetadata/LabelInfo.xml><?xml version="1.0" encoding="utf-8"?>
<clbl:labelList xmlns:clbl="http://schemas.microsoft.com/office/2020/mipLabelMetadata">
  <clbl:label id="{96e14e5a-57ac-48d7-851d-12f54eff5a60}" enabled="0" method="" siteId="{96e14e5a-57ac-48d7-851d-12f54eff5a6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Fialho da Silva</dc:creator>
  <cp:keywords/>
  <dc:description/>
  <cp:lastModifiedBy>Alex Stokell</cp:lastModifiedBy>
  <cp:revision/>
  <dcterms:created xsi:type="dcterms:W3CDTF">2021-03-04T12:00:57Z</dcterms:created>
  <dcterms:modified xsi:type="dcterms:W3CDTF">2026-06-15T09:48:22Z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0x01010039884CFDACAA4A4391E63416A81F8F9C</vt:lpwstr>
  </property>
  <property fmtid="{D5CDD505-2E9C-101B-9397-08002B2CF9AE}" pid="3" name="CustomerId">
    <vt:lpwstr>carbontrust</vt:lpwstr>
  </property>
  <property fmtid="{D5CDD505-2E9C-101B-9397-08002B2CF9AE}" pid="4" name="TemplateId">
    <vt:lpwstr>637511402857749439</vt:lpwstr>
  </property>
  <property fmtid="{D5CDD505-2E9C-101B-9397-08002B2CF9AE}" pid="5" name="UserProfileId">
    <vt:lpwstr>637465589768188597</vt:lpwstr>
  </property>
  <property fmtid="{D5CDD505-2E9C-101B-9397-08002B2CF9AE}" pid="6" name="MediaServiceImageTags">
    <vt:lpwstr/>
  </property>
</Properties>
</file>