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https://carbontrust.sharepoint.com/sites/Project-EUCommission-EGDCMovestoAction-Aug24/Shared Documents/General/3. Working Documents/Task 2 - Case Studies/4. Case Study Development/1. Batch 1 - July 2025/04. Heata/"/>
    </mc:Choice>
  </mc:AlternateContent>
  <xr:revisionPtr revIDLastSave="0" documentId="8_{A99ED061-D5F6-4F9B-829F-1FA8ABF013AE}" xr6:coauthVersionLast="47" xr6:coauthVersionMax="47" xr10:uidLastSave="{00000000-0000-0000-0000-000000000000}"/>
  <bookViews>
    <workbookView xWindow="-120" yWindow="-120" windowWidth="29040" windowHeight="15720" tabRatio="694" firstSheet="1" autoFilterDateGrouping="0" xr2:uid="{00000000-000D-0000-FFFF-FFFF00000000}"/>
  </bookViews>
  <sheets>
    <sheet name="Disclaimer" sheetId="20" r:id="rId1"/>
    <sheet name="Calculator" sheetId="9" r:id="rId2"/>
    <sheet name="Backend" sheetId="10" r:id="rId3"/>
    <sheet name="Uncertainty Analysis" sheetId="18" r:id="rId4"/>
    <sheet name="Sensitivity Analysis" sheetId="19" r:id="rId5"/>
    <sheet name="First order effects" sheetId="22" r:id="rId6"/>
    <sheet name="Second order effects" sheetId="21" r:id="rId7"/>
    <sheet name="Higher order effects" sheetId="23" r:id="rId8"/>
  </sheets>
  <definedNames>
    <definedName name="_xlnm._FilterDatabase" localSheetId="5" hidden="1">'First order effects'!$B$13:$K$105</definedName>
    <definedName name="ElecEF_UK_2024">Backend!$E$23</definedName>
    <definedName name="ElecEF_UK_2025">Backend!$E$24</definedName>
    <definedName name="Year">Backend!$E$5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9" l="1"/>
  <c r="C22" i="23"/>
  <c r="E8" i="10"/>
  <c r="E7" i="10"/>
  <c r="K5" i="10" s="1"/>
  <c r="C17" i="21"/>
  <c r="H98" i="22"/>
  <c r="H99" i="22"/>
  <c r="H100" i="22"/>
  <c r="H101" i="22"/>
  <c r="H102" i="22"/>
  <c r="H103" i="22"/>
  <c r="H104" i="22"/>
  <c r="H105" i="22"/>
  <c r="H89" i="22"/>
  <c r="H90" i="22"/>
  <c r="H91" i="22"/>
  <c r="H92" i="22"/>
  <c r="H93" i="22"/>
  <c r="H94" i="22"/>
  <c r="H95" i="22"/>
  <c r="H96" i="22"/>
  <c r="H85" i="22"/>
  <c r="H83" i="22"/>
  <c r="H75" i="22"/>
  <c r="H76" i="22"/>
  <c r="H77" i="22"/>
  <c r="H78" i="22"/>
  <c r="H79" i="22"/>
  <c r="H80" i="22"/>
  <c r="H61" i="22"/>
  <c r="H62" i="22"/>
  <c r="H63" i="22"/>
  <c r="H64" i="22"/>
  <c r="H65" i="22"/>
  <c r="H66" i="22"/>
  <c r="H67" i="22"/>
  <c r="H68" i="22"/>
  <c r="H69" i="22"/>
  <c r="H70" i="22"/>
  <c r="H71" i="22"/>
  <c r="H72" i="22"/>
  <c r="H73" i="22"/>
  <c r="H56" i="22"/>
  <c r="H45" i="22"/>
  <c r="H46" i="22"/>
  <c r="H47" i="22"/>
  <c r="H48" i="22"/>
  <c r="H49" i="22"/>
  <c r="H40" i="22"/>
  <c r="H41" i="22"/>
  <c r="H37" i="22"/>
  <c r="H38" i="22"/>
  <c r="H27" i="22"/>
  <c r="H28" i="22"/>
  <c r="H29" i="22"/>
  <c r="H30" i="22"/>
  <c r="H31" i="22"/>
  <c r="H32" i="22"/>
  <c r="H33" i="22"/>
  <c r="I22" i="22"/>
  <c r="J22" i="22" s="1"/>
  <c r="I23" i="22"/>
  <c r="I24" i="22"/>
  <c r="I25" i="22"/>
  <c r="I26" i="22"/>
  <c r="I27" i="22"/>
  <c r="J27" i="22" s="1"/>
  <c r="I28" i="22"/>
  <c r="J28" i="22" s="1"/>
  <c r="I29" i="22"/>
  <c r="J29" i="22" s="1"/>
  <c r="I30" i="22"/>
  <c r="J30" i="22" s="1"/>
  <c r="I31" i="22"/>
  <c r="J31" i="22" s="1"/>
  <c r="I32" i="22"/>
  <c r="I33" i="22"/>
  <c r="I34" i="22"/>
  <c r="I35" i="22"/>
  <c r="I36" i="22"/>
  <c r="I37" i="22"/>
  <c r="I38" i="22"/>
  <c r="I39" i="22"/>
  <c r="J39" i="22" s="1"/>
  <c r="I40" i="22"/>
  <c r="I41" i="22"/>
  <c r="I42" i="22"/>
  <c r="I43" i="22"/>
  <c r="I44" i="22"/>
  <c r="J44" i="22" s="1"/>
  <c r="I45" i="22"/>
  <c r="I46" i="22"/>
  <c r="I47" i="22"/>
  <c r="I48" i="22"/>
  <c r="I49" i="22"/>
  <c r="I50" i="22"/>
  <c r="J50" i="22" s="1"/>
  <c r="I52" i="22"/>
  <c r="J52" i="22" s="1"/>
  <c r="I54" i="22"/>
  <c r="J54" i="22" s="1"/>
  <c r="I55" i="22"/>
  <c r="J55" i="22" s="1"/>
  <c r="I56" i="22"/>
  <c r="J56" i="22" s="1"/>
  <c r="I57" i="22"/>
  <c r="J57" i="22" s="1"/>
  <c r="I58" i="22"/>
  <c r="J58" i="22" s="1"/>
  <c r="I60" i="22"/>
  <c r="J60" i="22" s="1"/>
  <c r="I61" i="22"/>
  <c r="J61" i="22" s="1"/>
  <c r="I62" i="22"/>
  <c r="J62" i="22" s="1"/>
  <c r="I63" i="22"/>
  <c r="J63" i="22" s="1"/>
  <c r="I64" i="22"/>
  <c r="J64" i="22" s="1"/>
  <c r="I65" i="22"/>
  <c r="J65" i="22" s="1"/>
  <c r="I66" i="22"/>
  <c r="J66" i="22" s="1"/>
  <c r="I67" i="22"/>
  <c r="J67" i="22" s="1"/>
  <c r="I68" i="22"/>
  <c r="J68" i="22" s="1"/>
  <c r="I69" i="22"/>
  <c r="J69" i="22" s="1"/>
  <c r="I70" i="22"/>
  <c r="J70" i="22" s="1"/>
  <c r="I71" i="22"/>
  <c r="J71" i="22" s="1"/>
  <c r="I72" i="22"/>
  <c r="J72" i="22" s="1"/>
  <c r="I73" i="22"/>
  <c r="J73" i="22" s="1"/>
  <c r="I74" i="22"/>
  <c r="J74" i="22" s="1"/>
  <c r="I75" i="22"/>
  <c r="J75" i="22" s="1"/>
  <c r="I76" i="22"/>
  <c r="J76" i="22" s="1"/>
  <c r="I77" i="22"/>
  <c r="J77" i="22" s="1"/>
  <c r="I78" i="22"/>
  <c r="J78" i="22" s="1"/>
  <c r="I79" i="22"/>
  <c r="J79" i="22" s="1"/>
  <c r="I80" i="22"/>
  <c r="J80" i="22" s="1"/>
  <c r="I81" i="22"/>
  <c r="J81" i="22" s="1"/>
  <c r="I82" i="22"/>
  <c r="J82" i="22" s="1"/>
  <c r="I83" i="22"/>
  <c r="J83" i="22" s="1"/>
  <c r="I84" i="22"/>
  <c r="J84" i="22" s="1"/>
  <c r="I85" i="22"/>
  <c r="J85" i="22" s="1"/>
  <c r="I87" i="22"/>
  <c r="J87" i="22" s="1"/>
  <c r="I89" i="22"/>
  <c r="J89" i="22" s="1"/>
  <c r="I90" i="22"/>
  <c r="J90" i="22" s="1"/>
  <c r="I91" i="22"/>
  <c r="J91" i="22" s="1"/>
  <c r="I92" i="22"/>
  <c r="J92" i="22" s="1"/>
  <c r="I93" i="22"/>
  <c r="J93" i="22" s="1"/>
  <c r="I94" i="22"/>
  <c r="J94" i="22" s="1"/>
  <c r="I95" i="22"/>
  <c r="J95" i="22" s="1"/>
  <c r="I96" i="22"/>
  <c r="J96" i="22" s="1"/>
  <c r="I97" i="22"/>
  <c r="I98" i="22"/>
  <c r="I99" i="22"/>
  <c r="I100" i="22"/>
  <c r="I101" i="22"/>
  <c r="I102" i="22"/>
  <c r="I103" i="22"/>
  <c r="I104" i="22"/>
  <c r="I105" i="22"/>
  <c r="J105" i="22" s="1"/>
  <c r="I15" i="22"/>
  <c r="I16" i="22"/>
  <c r="I17" i="22"/>
  <c r="I18" i="22"/>
  <c r="I19" i="22"/>
  <c r="I20" i="22"/>
  <c r="H21" i="22"/>
  <c r="I21" i="22" s="1"/>
  <c r="J21" i="22" s="1"/>
  <c r="C22" i="9"/>
  <c r="C23" i="9"/>
  <c r="E13" i="10" s="1"/>
  <c r="C20" i="23"/>
  <c r="C16" i="23"/>
  <c r="D20" i="21"/>
  <c r="C20" i="21"/>
  <c r="C21" i="21"/>
  <c r="E9" i="10"/>
  <c r="E12" i="10"/>
  <c r="K8" i="10" s="1"/>
  <c r="D7" i="19"/>
  <c r="D8" i="19"/>
  <c r="D9" i="19"/>
  <c r="D10" i="19"/>
  <c r="D11" i="19"/>
  <c r="D12" i="19"/>
  <c r="D13" i="19"/>
  <c r="D14" i="19"/>
  <c r="D15" i="19"/>
  <c r="C7" i="19"/>
  <c r="C8" i="19"/>
  <c r="C9" i="19"/>
  <c r="C10" i="19"/>
  <c r="C11" i="19"/>
  <c r="C12" i="19"/>
  <c r="C13" i="19"/>
  <c r="C14" i="19"/>
  <c r="C15" i="19"/>
  <c r="C9" i="18"/>
  <c r="C8" i="18"/>
  <c r="C7" i="18"/>
  <c r="C6" i="18"/>
  <c r="J19" i="18"/>
  <c r="K19" i="18"/>
  <c r="L19" i="18"/>
  <c r="M19" i="18"/>
  <c r="N19" i="18"/>
  <c r="B29" i="9"/>
  <c r="B12" i="10"/>
  <c r="E117" i="22"/>
  <c r="E116" i="22"/>
  <c r="E115" i="22"/>
  <c r="E114" i="22"/>
  <c r="E113" i="22"/>
  <c r="E112" i="22"/>
  <c r="J104" i="22"/>
  <c r="J103" i="22"/>
  <c r="J102" i="22"/>
  <c r="J101" i="22"/>
  <c r="J100" i="22"/>
  <c r="J99" i="22"/>
  <c r="J98" i="22"/>
  <c r="J97" i="22"/>
  <c r="J16" i="22"/>
  <c r="J17" i="22"/>
  <c r="J18" i="22"/>
  <c r="J19" i="22"/>
  <c r="J20" i="22"/>
  <c r="J32" i="22"/>
  <c r="J33" i="22"/>
  <c r="J34" i="22"/>
  <c r="J35" i="22"/>
  <c r="J36" i="22"/>
  <c r="J37" i="22"/>
  <c r="J38" i="22"/>
  <c r="J40" i="22"/>
  <c r="J41" i="22"/>
  <c r="J42" i="22"/>
  <c r="J43" i="22"/>
  <c r="J45" i="22"/>
  <c r="J46" i="22"/>
  <c r="J47" i="22"/>
  <c r="J48" i="22"/>
  <c r="J49" i="22"/>
  <c r="J15" i="22"/>
  <c r="D117" i="22"/>
  <c r="D116" i="22"/>
  <c r="D115" i="22"/>
  <c r="D114" i="22"/>
  <c r="D113" i="22"/>
  <c r="K21" i="10" l="1"/>
  <c r="K17" i="10"/>
  <c r="D21" i="21"/>
  <c r="O19" i="18"/>
  <c r="F117" i="22"/>
  <c r="F116" i="22"/>
  <c r="F114" i="22"/>
  <c r="F113" i="22"/>
  <c r="F115" i="22"/>
  <c r="E25" i="22"/>
  <c r="J25" i="22" s="1"/>
  <c r="E24" i="22"/>
  <c r="J24" i="22" s="1"/>
  <c r="E23" i="22"/>
  <c r="J23" i="22" s="1"/>
  <c r="E26" i="22"/>
  <c r="J26" i="22" s="1"/>
  <c r="C107" i="22" l="1"/>
  <c r="K10" i="10" s="1"/>
  <c r="K9" i="10"/>
  <c r="D112" i="22"/>
  <c r="F112" i="22" s="1"/>
  <c r="N7" i="19"/>
  <c r="N8" i="19"/>
  <c r="N9" i="19"/>
  <c r="N10" i="19"/>
  <c r="P26" i="18"/>
  <c r="E14" i="19" s="1"/>
  <c r="C5" i="18"/>
  <c r="N20" i="18"/>
  <c r="N21" i="18"/>
  <c r="N22" i="18"/>
  <c r="N23" i="18"/>
  <c r="N24" i="18"/>
  <c r="N25" i="18"/>
  <c r="N26" i="18"/>
  <c r="N27" i="18"/>
  <c r="N18" i="18"/>
  <c r="K11" i="10" l="1"/>
  <c r="K14" i="10"/>
  <c r="K15" i="10" s="1"/>
  <c r="C119" i="22"/>
  <c r="J20" i="18"/>
  <c r="K20" i="18"/>
  <c r="L20" i="18"/>
  <c r="M20" i="18"/>
  <c r="J21" i="18"/>
  <c r="K21" i="18"/>
  <c r="L21" i="18"/>
  <c r="M21" i="18"/>
  <c r="J22" i="18"/>
  <c r="K22" i="18"/>
  <c r="L22" i="18"/>
  <c r="M22" i="18"/>
  <c r="J23" i="18"/>
  <c r="K23" i="18"/>
  <c r="L23" i="18"/>
  <c r="M23" i="18"/>
  <c r="J24" i="18"/>
  <c r="K24" i="18"/>
  <c r="L24" i="18"/>
  <c r="M24" i="18"/>
  <c r="J25" i="18"/>
  <c r="K25" i="18"/>
  <c r="L25" i="18"/>
  <c r="M25" i="18"/>
  <c r="J26" i="18"/>
  <c r="K26" i="18"/>
  <c r="L26" i="18"/>
  <c r="M26" i="18"/>
  <c r="J27" i="18"/>
  <c r="K27" i="18"/>
  <c r="L27" i="18"/>
  <c r="M27" i="18"/>
  <c r="N15" i="19"/>
  <c r="N14" i="19"/>
  <c r="N13" i="19"/>
  <c r="N12" i="19"/>
  <c r="N11" i="19"/>
  <c r="P23" i="18" l="1"/>
  <c r="P25" i="18"/>
  <c r="E13" i="19" s="1"/>
  <c r="O27" i="18"/>
  <c r="H14" i="19"/>
  <c r="I14" i="19"/>
  <c r="O21" i="18"/>
  <c r="O25" i="18"/>
  <c r="O23" i="18"/>
  <c r="O26" i="18"/>
  <c r="O22" i="18"/>
  <c r="O20" i="18"/>
  <c r="O24" i="18"/>
  <c r="E5" i="10"/>
  <c r="E131" i="22" s="1"/>
  <c r="D5" i="10"/>
  <c r="B5" i="10"/>
  <c r="E11" i="19" l="1"/>
  <c r="R25" i="18"/>
  <c r="Q25" i="18"/>
  <c r="Q23" i="18"/>
  <c r="R23" i="18"/>
  <c r="Q26" i="18"/>
  <c r="R26" i="18"/>
  <c r="E130" i="22"/>
  <c r="P27" i="18"/>
  <c r="R27" i="18" l="1"/>
  <c r="Q27" i="18"/>
  <c r="E15" i="19"/>
  <c r="H13" i="19" l="1"/>
  <c r="I13" i="19"/>
  <c r="H15" i="19"/>
  <c r="I15" i="19"/>
  <c r="B9" i="10" l="1"/>
  <c r="K6" i="10"/>
  <c r="K22" i="10" s="1"/>
  <c r="P21" i="18" s="1"/>
  <c r="K7" i="10" l="1"/>
  <c r="K24" i="10" s="1"/>
  <c r="K25" i="10" s="1"/>
  <c r="K26" i="10" s="1"/>
  <c r="K33" i="10" s="1"/>
  <c r="P18" i="18" l="1"/>
  <c r="E5" i="18" s="1"/>
  <c r="K23" i="10"/>
  <c r="K32" i="10" s="1"/>
  <c r="Q21" i="18"/>
  <c r="F8" i="18" s="1"/>
  <c r="C6" i="23"/>
  <c r="C27" i="9"/>
  <c r="P20" i="18"/>
  <c r="P19" i="18"/>
  <c r="D6" i="10"/>
  <c r="E9" i="19" l="1"/>
  <c r="E8" i="18"/>
  <c r="P22" i="18"/>
  <c r="Q22" i="18" s="1"/>
  <c r="F9" i="18" s="1"/>
  <c r="R20" i="18"/>
  <c r="G7" i="18" s="1"/>
  <c r="Q20" i="18"/>
  <c r="F7" i="18" s="1"/>
  <c r="E7" i="18"/>
  <c r="E8" i="19"/>
  <c r="Q19" i="18"/>
  <c r="R19" i="18"/>
  <c r="E7" i="19"/>
  <c r="E6" i="19"/>
  <c r="C10" i="23"/>
  <c r="J18" i="18"/>
  <c r="K18" i="18"/>
  <c r="L18" i="18"/>
  <c r="M18" i="18"/>
  <c r="R22" i="18" l="1"/>
  <c r="G9" i="18" s="1"/>
  <c r="E9" i="18"/>
  <c r="E10" i="19"/>
  <c r="I7" i="19"/>
  <c r="H7" i="19"/>
  <c r="O18" i="18"/>
  <c r="K12" i="10"/>
  <c r="K13" i="10" s="1"/>
  <c r="K31" i="10" s="1"/>
  <c r="D6" i="19"/>
  <c r="N6" i="19" s="1"/>
  <c r="C6" i="19"/>
  <c r="I5" i="19"/>
  <c r="H5" i="19"/>
  <c r="E5" i="19"/>
  <c r="D5" i="19"/>
  <c r="C5" i="19"/>
  <c r="K34" i="10" l="1"/>
  <c r="P24" i="18"/>
  <c r="E6" i="18" s="1"/>
  <c r="R18" i="18"/>
  <c r="Q18" i="18"/>
  <c r="H6" i="19"/>
  <c r="I6" i="19"/>
  <c r="C29" i="9" l="1"/>
  <c r="E10" i="18"/>
  <c r="Q24" i="18"/>
  <c r="F6" i="18" s="1"/>
  <c r="R24" i="18"/>
  <c r="G6" i="18" s="1"/>
  <c r="E12" i="19"/>
  <c r="R21" i="18"/>
  <c r="G8" i="18" s="1"/>
  <c r="F5" i="18"/>
  <c r="G5" i="18"/>
  <c r="H9" i="19"/>
  <c r="I9" i="19"/>
  <c r="J13" i="19" l="1"/>
  <c r="J6" i="19"/>
  <c r="K6" i="19"/>
  <c r="F10" i="18"/>
  <c r="F11" i="18" s="1"/>
  <c r="H12" i="19"/>
  <c r="I12" i="19"/>
  <c r="G10" i="18"/>
  <c r="I8" i="19"/>
  <c r="H8" i="19"/>
  <c r="I11" i="19"/>
  <c r="H11" i="19"/>
  <c r="E6" i="10"/>
  <c r="K38" i="10" s="1"/>
  <c r="B6" i="10"/>
  <c r="C30" i="9" l="1"/>
  <c r="K39" i="10"/>
  <c r="C31" i="9" s="1"/>
  <c r="H10" i="19"/>
  <c r="J10" i="19" s="1"/>
  <c r="I10" i="19"/>
  <c r="K10" i="19" s="1"/>
  <c r="K11" i="19"/>
  <c r="J11" i="19"/>
  <c r="K8" i="19"/>
  <c r="J8" i="19"/>
  <c r="J9" i="19"/>
  <c r="K9" i="19"/>
  <c r="G11" i="18"/>
  <c r="H11" i="18" s="1"/>
  <c r="J12" i="19"/>
  <c r="K7" i="19"/>
  <c r="J7" i="19"/>
  <c r="J14" i="19"/>
  <c r="K14" i="19"/>
  <c r="K12" i="19"/>
  <c r="K13" i="19"/>
  <c r="J15" i="19"/>
  <c r="K15" i="19"/>
  <c r="C37" i="9"/>
  <c r="M8" i="19" l="1"/>
  <c r="L7" i="19"/>
  <c r="L14" i="19"/>
  <c r="L6" i="19"/>
  <c r="M6" i="19"/>
  <c r="L11" i="19"/>
  <c r="M7" i="19"/>
  <c r="M15" i="19"/>
  <c r="L12" i="19"/>
  <c r="M11" i="19"/>
  <c r="L15" i="19"/>
  <c r="M10" i="19"/>
  <c r="M13" i="19"/>
  <c r="M9" i="19"/>
  <c r="L10" i="19"/>
  <c r="M12" i="19"/>
  <c r="L9" i="19"/>
  <c r="L13" i="19"/>
  <c r="M14" i="19"/>
  <c r="L8" i="19"/>
  <c r="E5" i="23"/>
  <c r="E12" i="18"/>
  <c r="C36" i="9"/>
</calcChain>
</file>

<file path=xl/sharedStrings.xml><?xml version="1.0" encoding="utf-8"?>
<sst xmlns="http://schemas.openxmlformats.org/spreadsheetml/2006/main" count="916" uniqueCount="475">
  <si>
    <t>Disclaimer for European Parliament Pilot Project – European Green Digital Coalition (EGDC) Case Studies</t>
  </si>
  <si>
    <t>The following disclaimer is intended to provide clarity and context for the case studies prepared as part of the Phase 2 - EGDC Moves to Action, which have showcased the net carbon impact of specific digital solutions using the EGDC ICT Methodology developed during the project:</t>
  </si>
  <si>
    <t>1. Purpose of the Case Studies:</t>
  </si>
  <si>
    <t>The case studies served multiple purposes, including:</t>
  </si>
  <si>
    <r>
      <t>1. Development of the Methodology:</t>
    </r>
    <r>
      <rPr>
        <sz val="10"/>
        <color theme="1"/>
        <rFont val="Lora"/>
      </rPr>
      <t xml:space="preserve"> They contributed to the development of the EGDC ICT Methodology. These case studies were conducted concurrently with the methodology's creation and served as a valuable testing ground for its initial formulation.</t>
    </r>
  </si>
  <si>
    <r>
      <t>2. Application Examples:</t>
    </r>
    <r>
      <rPr>
        <sz val="10"/>
        <color theme="1"/>
        <rFont val="Lora"/>
      </rPr>
      <t xml:space="preserve"> They provided practical examples of how the methodology can be applied to real-life use cases. These case studies were essential in demonstrating the practicality and effectiveness of the methodology when applied to concrete situations.</t>
    </r>
  </si>
  <si>
    <r>
      <t>3. Identification of Improvement Areas:</t>
    </r>
    <r>
      <rPr>
        <sz val="10"/>
        <color theme="1"/>
        <rFont val="Lora"/>
      </rPr>
      <t xml:space="preserve"> By conducting these case studies, we aimed to highlight parts of the calculation in need of improvement. They shed light on the challenges and limitations inherent in using available data and indicated the necessary steps to move towards best practices in assessing net carbon impacts.</t>
    </r>
  </si>
  <si>
    <t>2. Data Quality as a Key Determinant:</t>
  </si>
  <si>
    <t>It is imperative to emphasize that data quality is a fundamental determinant of the quality and reliability of the case studies. The accuracy and completeness of the data used significantly influence the outcomes and findings of these case studies.</t>
  </si>
  <si>
    <t>It is essential to acknowledge that the data available for each case study may differ in terms of accuracy, granularity, and coverage. As a result, the case studies may not necessarily represent the best practice application of the EGDC ICT Methodology. Instead, they reflect the application of the methodology at various stages of data availability.</t>
  </si>
  <si>
    <t>3. Liability for Errors/Omissions:</t>
  </si>
  <si>
    <t>While reasonable steps have been taken to ensure that the information contained within the case studies is correct, the EGDC gives no warranty and makes no representation as to its accuracy. We accept no liability for any errors or omissions that may be present in the case studies, methodology, or related information. Users and readers are advised to exercise their judgment and seek further clarification if needed, as the information provided may evolve over time and depend on external factors beyond our control.</t>
  </si>
  <si>
    <t>4. Appropriate Use of the Case Study Calculators:</t>
  </si>
  <si>
    <t>The case study calculators are intended for educational and informational purposes. They rely on certain assumptions and input data to generate results.</t>
  </si>
  <si>
    <t>The results of the calculators are specific to the implementation of the ICT solution and may not be representative for other implementation contexts.</t>
  </si>
  <si>
    <t>As such, it is imperative for users to refrain from directly extrapolating these results to ICT solutions or implementation contexts that may seem conceptually similar.</t>
  </si>
  <si>
    <t>Instead, users are advised to use the calculators as a means to understand the practical application of the EGDC ICT Methodology, thereby equipping themselves with the knowledge required to develop customized calculators specifically tailored to their unique ICT solutions and implementation circumstances.</t>
  </si>
  <si>
    <t>In conclusion, these case studies provide valuable insights into the calculation of the net carbon impact of digital solutions through the practical application of the EGDC ICT Methodology. However, it is vital to exercise caution when interpreting the results, considering the variances in data quality and the evolving nature of the methodology. The findings are indicative of the methodology's potential and its room for refinement as we work towards more accurate and comprehensive assessments of net carbon impacts.</t>
  </si>
  <si>
    <t>Overview</t>
  </si>
  <si>
    <t>The heata solution reimagines a typical data centre as a network of distributed cloud-computing servers (heata units) inside homes. Each unit is mounted to a domestic hot water cylinder, and using fibre, connects to heata’s network forming a ‘virtual data centre’.  heata then uses this virtual data centre to provide cloud services, with the resulting waste heat being transferred into the cylinder to provide free hot water for homes.
By using energy 'twice' (once for processing, once for heating) and avoiding the need for energy-intensive cooling systems (found in data centres), this reduces emissions by:
- Reduces CO2 emissions as the waste heat from the data processing of the heata unit is used to heat water in the cylinder, reducing household energy consumption required for hot water
- Reduces CO2 emissions as the energy consumption for cooling in a data centre is avoided 
The case study is the heata implementation in Surrey in the UK. Based upon a sample of 60 residential properties across bungalows, flats, terraced houses, semi-detached, and detached with a range of EPC ratings and occupancies.  The case study and calculator are only applicable to properties with a hot water cylinder using mains gas for space and water heating.</t>
  </si>
  <si>
    <t>Scenarios</t>
  </si>
  <si>
    <t>Reference Scenario(s)</t>
  </si>
  <si>
    <t>Server of the same power demand &amp; processing capability in a data centre cooled by air cooling system and an average UK home generating hot water from gas boilers</t>
  </si>
  <si>
    <t>Solution Scenario(s)</t>
  </si>
  <si>
    <t>heata server installed in an average UK home cooled by heat transfer to a domestic hot water system powered by a gas boiler.</t>
  </si>
  <si>
    <t>Functional Unit</t>
  </si>
  <si>
    <t>per kWh of compute consumed</t>
  </si>
  <si>
    <t>Inputs</t>
  </si>
  <si>
    <t>Required Inputs</t>
  </si>
  <si>
    <t>Year of use</t>
  </si>
  <si>
    <t>-</t>
  </si>
  <si>
    <t>Time period for heata use</t>
  </si>
  <si>
    <t>years</t>
  </si>
  <si>
    <t>kW of processing compute (average)</t>
  </si>
  <si>
    <t>kW</t>
  </si>
  <si>
    <t>Optional Adjustments</t>
  </si>
  <si>
    <t>Defaults</t>
  </si>
  <si>
    <t>Manual Override (add value)</t>
  </si>
  <si>
    <t>heata unit utilisation (%)</t>
  </si>
  <si>
    <t>Note: this modifies the allocation of the heata units embodied emissions to the total lifetime kWh</t>
  </si>
  <si>
    <t>Data centre PUE in reference scenario</t>
  </si>
  <si>
    <t>Note: default value is the global average PUE</t>
  </si>
  <si>
    <t>Results</t>
  </si>
  <si>
    <t>Gas savings from avoided heating</t>
  </si>
  <si>
    <t>kWh</t>
  </si>
  <si>
    <t>Electricity savings from avoided data centre cooling  electricity use</t>
  </si>
  <si>
    <t>kgCO2e / kWh compute</t>
  </si>
  <si>
    <t>Total net carbon impact per heata unit in time period</t>
  </si>
  <si>
    <t>tCO2e</t>
  </si>
  <si>
    <t>Total net carbon impact per heata unit per year (including rebound effects):</t>
  </si>
  <si>
    <t>Uncertainty Analysis Results</t>
  </si>
  <si>
    <t>Total carbon savings enabled (lower range)</t>
  </si>
  <si>
    <t>tCO2e / year</t>
  </si>
  <si>
    <t>Total carbon savings enabled (higher range)</t>
  </si>
  <si>
    <t>Calculation</t>
  </si>
  <si>
    <t>Solution Scenario</t>
  </si>
  <si>
    <t>Explanation/Notes</t>
  </si>
  <si>
    <t>Unit</t>
  </si>
  <si>
    <t>Value</t>
  </si>
  <si>
    <t>Calculation Step</t>
  </si>
  <si>
    <t>Formula (Written Out)</t>
  </si>
  <si>
    <t>heata unit time in use during Summer months</t>
  </si>
  <si>
    <t>(Months/12)* 365 * 24</t>
  </si>
  <si>
    <t>hours</t>
  </si>
  <si>
    <t>heata unit time in use during Winter months</t>
  </si>
  <si>
    <t>Time period for Heata use - Summer months</t>
  </si>
  <si>
    <t>Months</t>
  </si>
  <si>
    <t>kWh compute during time period</t>
  </si>
  <si>
    <t>kW * time period</t>
  </si>
  <si>
    <t>Time period for Heata use - Winter months</t>
  </si>
  <si>
    <t>kWh compute per heata unit (average)</t>
  </si>
  <si>
    <t>( P_max − P_idle ) * Utilisation + P_idle</t>
  </si>
  <si>
    <t>kW compute</t>
  </si>
  <si>
    <t>Lifetime kWh consumed by a heata unit</t>
  </si>
  <si>
    <t>kWh compute per heata unit * heata lifetime</t>
  </si>
  <si>
    <t>Lifetime embodied emissions of heata unit + components (per heata unit)</t>
  </si>
  <si>
    <t>See first order effects tab</t>
  </si>
  <si>
    <t>kgCO2e</t>
  </si>
  <si>
    <t>Embodied emissions of heata units + components (per kWh)</t>
  </si>
  <si>
    <t>Lifetime embodied emissions per heata unit / Lifetime kWh</t>
  </si>
  <si>
    <t>kgCO2e/kWh</t>
  </si>
  <si>
    <t>%</t>
  </si>
  <si>
    <t>Lifetime use-phase emissions of components (per heata unit)</t>
  </si>
  <si>
    <t>Data centre PUE</t>
  </si>
  <si>
    <t>Use-phase emissions of components (per kWh)</t>
  </si>
  <si>
    <t>Lifetime use-phase emissions / Lifetime kWh</t>
  </si>
  <si>
    <t>End of life emissions of heata unit +components (per heata unit)</t>
  </si>
  <si>
    <t>Data</t>
  </si>
  <si>
    <t>End of life emissions of heata unit +components (per kWh)</t>
  </si>
  <si>
    <t>Lifetime EoL emissions / Lifetime kWh</t>
  </si>
  <si>
    <t>heata unit power (kW)</t>
  </si>
  <si>
    <t>P_max</t>
  </si>
  <si>
    <t>W</t>
  </si>
  <si>
    <t>Network effects use-phase emissions</t>
  </si>
  <si>
    <t>Excluded as assumed equal to data centre connectivity network use</t>
  </si>
  <si>
    <t>P_idle</t>
  </si>
  <si>
    <t>Number of heata units required for kWh compute</t>
  </si>
  <si>
    <t>kW compute / kW compute per heata unit</t>
  </si>
  <si>
    <t>heata unit lifetime (years)</t>
  </si>
  <si>
    <t>Years</t>
  </si>
  <si>
    <t>Uptime Institute 2024</t>
  </si>
  <si>
    <t>Reference Scenario</t>
  </si>
  <si>
    <t>Emission Factors</t>
  </si>
  <si>
    <t>Home hot water heating gas consumption saving - Summer months</t>
  </si>
  <si>
    <t>kWh saving per kWh compute (pilot) * kW compute * hours</t>
  </si>
  <si>
    <t>Natural gas - kWh (gross CV) full lifecycle</t>
  </si>
  <si>
    <t>UK BEIS (2024-2025)</t>
  </si>
  <si>
    <t>Home hot water heating gas consumption saving - Winter months</t>
  </si>
  <si>
    <t>Electricity - kWh full lifecycle</t>
  </si>
  <si>
    <t>UK BEIS (2024)</t>
  </si>
  <si>
    <t>Home hot water heating gas consumption (per kWh)</t>
  </si>
  <si>
    <t>Total / kWh compute</t>
  </si>
  <si>
    <t>kWh / kWh compute</t>
  </si>
  <si>
    <t>UK BEIS (2025)</t>
  </si>
  <si>
    <t>Server electricity consumption</t>
  </si>
  <si>
    <t>Server consumption = kWh compute during time period</t>
  </si>
  <si>
    <t>Electrical items - IT Primary material production</t>
  </si>
  <si>
    <t>BEIS 2024</t>
  </si>
  <si>
    <t>kgCO2e/tonne</t>
  </si>
  <si>
    <t>Data centre cooling electricity consumption</t>
  </si>
  <si>
    <t>non-IT power = IT compute * (PUE-1)</t>
  </si>
  <si>
    <t>Electrical items - small Primary material production</t>
  </si>
  <si>
    <t>Data centre cooling electricity consumption (per kWh)</t>
  </si>
  <si>
    <t>Non-IT power consumption [kWnon-IT/kW compute] * electricity EF [kgco2e/kWh non-IT]</t>
  </si>
  <si>
    <t>kWh/kWh compute</t>
  </si>
  <si>
    <t>Plastic - Plastics: average plastic rigid Primary material production</t>
  </si>
  <si>
    <t>Data centre cooling f-gas leakage</t>
  </si>
  <si>
    <t>Unable to find reliable sources</t>
  </si>
  <si>
    <t>Metals Primary material production</t>
  </si>
  <si>
    <t>Metal - Metal: aluminium cans and foil (excl.forming) Primary material production</t>
  </si>
  <si>
    <t>Scenario Comparison</t>
  </si>
  <si>
    <t>Electrical items, WEEE mixed, open-loop</t>
  </si>
  <si>
    <t>Electrical items, WEEE small open-loop</t>
  </si>
  <si>
    <t>First order effects (per kWh compute)</t>
  </si>
  <si>
    <t>kgCO2e/kWh compute</t>
  </si>
  <si>
    <t>Electrical items, WEEE mixed, Landfill</t>
  </si>
  <si>
    <t>Avoided home hot water heating emissions</t>
  </si>
  <si>
    <t>Avoided gas consumption per kWh * Gas EF</t>
  </si>
  <si>
    <t>Avoided data centre cooling</t>
  </si>
  <si>
    <t>Notes</t>
  </si>
  <si>
    <t>Net impact of heata unit per kWh compute</t>
  </si>
  <si>
    <t>Data centre PUE has an alternative source showing a higher PUE which was not used to ensure a conservative result</t>
  </si>
  <si>
    <t>The EU Code of Conduct for Data Centres – towards more innovative, sustainable and secure data centre facilities - The Joint Research Centre: EU Science Hub</t>
  </si>
  <si>
    <t/>
  </si>
  <si>
    <t>The use-phase emissions of the heata unit are equivalent to the server unit and therefore are not calculated, therefore, only the use-phase emissions of other components have been included</t>
  </si>
  <si>
    <t>Total net impact</t>
  </si>
  <si>
    <t>Net impact of heata unit/kWh * kW compute * time period / 1000</t>
  </si>
  <si>
    <t>Total net carbon impact + Higher order effects</t>
  </si>
  <si>
    <t>Uncertainty Results</t>
  </si>
  <si>
    <t>Low and high range estimates based on activity and emission factor uncertainties</t>
  </si>
  <si>
    <t>Impact effect</t>
  </si>
  <si>
    <t>Description of effect</t>
  </si>
  <si>
    <t>Input data</t>
  </si>
  <si>
    <t>Input data with SD (higher range)</t>
  </si>
  <si>
    <t>Input data with SD (lower range)</t>
  </si>
  <si>
    <t>Emissions (kgCO2e)</t>
  </si>
  <si>
    <t>Embodied emissions of heata units + components</t>
  </si>
  <si>
    <t>Use-phase emissions of components</t>
  </si>
  <si>
    <t>End of life emissions of heata unit +components</t>
  </si>
  <si>
    <t>Avoided home hot water heating gas consumption</t>
  </si>
  <si>
    <t>Total carbon savings enabled (tCO2e)</t>
  </si>
  <si>
    <t>Error values (tCO2e)</t>
  </si>
  <si>
    <t>Uncertainty Analysis</t>
  </si>
  <si>
    <t>This analysis assesses the uncertainty in the quality of the data inputs.</t>
  </si>
  <si>
    <t>Qualitative Assessment of Data Quality</t>
  </si>
  <si>
    <t>Quantitative assessment of data quality</t>
  </si>
  <si>
    <t>Impact of Uncertainty on Net Carbon Impact</t>
  </si>
  <si>
    <t>Data type</t>
  </si>
  <si>
    <t>Technological</t>
  </si>
  <si>
    <t>Temporal</t>
  </si>
  <si>
    <t>Geographical</t>
  </si>
  <si>
    <t xml:space="preserve">Reliability </t>
  </si>
  <si>
    <t>Completeness</t>
  </si>
  <si>
    <t>SD</t>
  </si>
  <si>
    <t>Activity Data</t>
  </si>
  <si>
    <t xml:space="preserve">1st order </t>
  </si>
  <si>
    <t>Good</t>
  </si>
  <si>
    <t>Very Good</t>
  </si>
  <si>
    <t xml:space="preserve">2nd order </t>
  </si>
  <si>
    <t>Fair</t>
  </si>
  <si>
    <t>Emission factors</t>
  </si>
  <si>
    <t>Add more 1st and 2nd order effects if needed</t>
  </si>
  <si>
    <t>Select appropriate data quality assessment based on table below</t>
  </si>
  <si>
    <t>Link relevant input data (ensure same units are used for Efs)</t>
  </si>
  <si>
    <t>Data quality criteria and scoring</t>
  </si>
  <si>
    <t>Data Quality Criteria</t>
  </si>
  <si>
    <t>Poor</t>
  </si>
  <si>
    <r>
      <t xml:space="preserve">Technological representativeness: </t>
    </r>
    <r>
      <rPr>
        <sz val="11"/>
        <color rgb="FF000000"/>
        <rFont val="Lora"/>
      </rPr>
      <t>Confirm that the data aligns with the technology used in the solution</t>
    </r>
  </si>
  <si>
    <t xml:space="preserve">Data is broken down into all key factors that drive emissions e.g., a complete LCA of each of the solution components </t>
  </si>
  <si>
    <t>Data is well described at a high level e.g., materials used and weights in each component has been provided</t>
  </si>
  <si>
    <t>Data is generic e.g., data on similar components has been used</t>
  </si>
  <si>
    <t>Proxy data only so estimates / assumptions have been used</t>
  </si>
  <si>
    <r>
      <t xml:space="preserve">Temporal representativeness: </t>
    </r>
    <r>
      <rPr>
        <sz val="11"/>
        <color theme="1"/>
        <rFont val="Lora"/>
      </rPr>
      <t>Assess how old the data is and if it is representative to the solution implementation context</t>
    </r>
  </si>
  <si>
    <t>Data used is specific to the case study and covers entire relevant time period</t>
  </si>
  <si>
    <t>Some data is from other years but more than 50% is from relevant time period</t>
  </si>
  <si>
    <t>Data is relevant for  less than 50% of time period</t>
  </si>
  <si>
    <t xml:space="preserve">Data is not relevant to the time period </t>
  </si>
  <si>
    <r>
      <t xml:space="preserve">Geographical representativeness: </t>
    </r>
    <r>
      <rPr>
        <sz val="11"/>
        <color theme="1"/>
        <rFont val="Lora"/>
      </rPr>
      <t>Assess whether the data used is specific to the  location and context of the solution implementation.</t>
    </r>
  </si>
  <si>
    <t>All data used is specific to the geography of the case study implementation context</t>
  </si>
  <si>
    <t xml:space="preserve">Some data is from other geographies but more than 50% is specific to the geography of the case study implementation context </t>
  </si>
  <si>
    <t>Data specific to the geography of the case study implementation context accounts for less than 50% of data</t>
  </si>
  <si>
    <t>Data is not relevant to the geography of the case study</t>
  </si>
  <si>
    <r>
      <t xml:space="preserve">Completeness: </t>
    </r>
    <r>
      <rPr>
        <sz val="11"/>
        <color theme="1"/>
        <rFont val="Lora"/>
      </rPr>
      <t>Assess whether the data contains all relevant data or whether estimates or assumptions have been used to account for missing data</t>
    </r>
  </si>
  <si>
    <t>Full dataset - no missing data / extrapolation</t>
  </si>
  <si>
    <t>Significant sample / good representation of data period</t>
  </si>
  <si>
    <t>Small sample / Incomplete coverage, use of reasonable/data backed assumptions to fill data gaps</t>
  </si>
  <si>
    <t>Small sample / Incomplete coverage / data gaps filled with assumptions not backed by data</t>
  </si>
  <si>
    <r>
      <t xml:space="preserve">Reliability of source: </t>
    </r>
    <r>
      <rPr>
        <sz val="11"/>
        <color theme="1"/>
        <rFont val="Lora"/>
      </rPr>
      <t>Consider the source of the data and how reliable this is</t>
    </r>
  </si>
  <si>
    <t>Primary measured data / Publicly available from an internationally renowned source</t>
  </si>
  <si>
    <t>Publicly available with transparent high-quality methods / Primary survey data with high-quality methods</t>
  </si>
  <si>
    <t>Secondary data and proxies that are justified by strong evidence/reliable sources</t>
  </si>
  <si>
    <t>Secondary data that is not publicly available / from a reliable source</t>
  </si>
  <si>
    <t>Source: EGDC ICT Methodology</t>
  </si>
  <si>
    <t>Reliability</t>
  </si>
  <si>
    <t>Temporal representativeness</t>
  </si>
  <si>
    <t>Geographical representativeness</t>
  </si>
  <si>
    <t>Technological representativeness</t>
  </si>
  <si>
    <t>Adapted from: Greenhouse Gas Protocol, Quantitative Inventory Uncertainty, https://ghgprotocol.org/sites/default/files/2022-12/Quantitative%20Uncertainty%20Guidance.pdf</t>
  </si>
  <si>
    <t>Sensitivity Analysis</t>
  </si>
  <si>
    <t>This analysis aims to show the impact of varying the inputs to the net impact calculation in different implementation contexts.</t>
  </si>
  <si>
    <t>% variation of input (lower)</t>
  </si>
  <si>
    <t>% variation of input (higher)</t>
  </si>
  <si>
    <t>Net carbon impact (kgCO2e) - higher range</t>
  </si>
  <si>
    <t>Net carbon impact (kgCO2e) - lower range</t>
  </si>
  <si>
    <t>Percentage change to net carbon impact - higher range</t>
  </si>
  <si>
    <t>Percentage change to net carbon impact - lower range</t>
  </si>
  <si>
    <t>Description of change</t>
  </si>
  <si>
    <t>activity data</t>
  </si>
  <si>
    <t>emission factor</t>
  </si>
  <si>
    <t>First Order Effects</t>
  </si>
  <si>
    <t>KEY</t>
  </si>
  <si>
    <t>Data input</t>
  </si>
  <si>
    <t>heata unit</t>
  </si>
  <si>
    <t>1. Embodied Emissions</t>
  </si>
  <si>
    <t>Estimated Bill of Materials based on the Product Specification</t>
  </si>
  <si>
    <t>Feature</t>
  </si>
  <si>
    <t>Product Category</t>
  </si>
  <si>
    <t>Quantity / Units (estimated)</t>
  </si>
  <si>
    <t>estimated components weight (kg)</t>
  </si>
  <si>
    <t>Source for weight assumption</t>
  </si>
  <si>
    <t>Additional notes</t>
  </si>
  <si>
    <t xml:space="preserve">EF name </t>
  </si>
  <si>
    <t>EF (kgCO2e/kg)</t>
  </si>
  <si>
    <t>Lifetime impact of the component kgCO2e</t>
  </si>
  <si>
    <t>Heata unit</t>
  </si>
  <si>
    <t>Intel® Xeon® Processor E5-2680 v4</t>
  </si>
  <si>
    <t>CPU (Refurbished)</t>
  </si>
  <si>
    <t>Link</t>
  </si>
  <si>
    <t>Crucial MX500 - 1TB</t>
  </si>
  <si>
    <t>SSD</t>
  </si>
  <si>
    <t>Samsung 16GB DDR4 ECC Registered Server Memory</t>
  </si>
  <si>
    <t>RAM (Refurbished)</t>
  </si>
  <si>
    <t>MBD-H12SSL-I-O</t>
  </si>
  <si>
    <t>Motherboard</t>
  </si>
  <si>
    <t>Supermicro TPM MODULE TCG 2.0 E5/E7</t>
  </si>
  <si>
    <t>TPM</t>
  </si>
  <si>
    <t>Corsair 600SF 600 Watt Fully Modular 80+ Platinum</t>
  </si>
  <si>
    <t>PSU</t>
  </si>
  <si>
    <t>Fire mesh</t>
  </si>
  <si>
    <t>sub 2mm</t>
  </si>
  <si>
    <t>negligible</t>
  </si>
  <si>
    <t>Link has no weight data</t>
  </si>
  <si>
    <t>Heata MVP Case - inner</t>
  </si>
  <si>
    <t>Protocase - Inner case - 0.838kg, sheet steel</t>
  </si>
  <si>
    <t>2m ATX Motherboard cable (MiniFit Jr Plugs, 24p to 18p + 10p, 6.3mm blade)</t>
  </si>
  <si>
    <t>Custom Cable</t>
  </si>
  <si>
    <t>2m ATX CPU cable (MiniFit Jr Plugs, 8p to 8p)</t>
  </si>
  <si>
    <t>Same as above</t>
  </si>
  <si>
    <t>2.8m ATX AUX power extension (6p MiniFit Jr Plug to 6p MiniFit Jr Socket)</t>
  </si>
  <si>
    <t>2.6m Modbus cable</t>
  </si>
  <si>
    <t>1 Pair Shielded cable w/ tap</t>
  </si>
  <si>
    <t>Low profile plug CAT cable</t>
  </si>
  <si>
    <t>3.2m needed (can order just over)</t>
  </si>
  <si>
    <t>https://www.google.com/search?q=Low+profile+plug+CAT+cable+weight+in+kg&amp;sca_esv=7961302cda4152b2&amp;ei=oNdwaYePA4-7hbIPkeKh4Qo&amp;ved=0ahUKEwiH37ex4ZySAxWPXUEAHRFxKKwQ4dUDCBE&amp;uact=5&amp;oq=Low+profile+plug+CAT+cable+weight+in+kg&amp;gs_lp=Egxnd3Mtd2l6LXNlcnAiJ0xvdyBwcm9maWxlIHBsdWcgQ0FUIGNhYmxlIHdlaWdodCBpbiBrZzIFEAAY7wUyBRAAGO8FMgUQABjvBTIIEAAYgAQYogRIygdQAFgAcAB4AJABAJgBc6ABc6oBAzAuMbgBA8gBAPgBAvgBAZgCAaACeJgDAJIHAzAuMaAH3AKyBwMwLjG4B3jCBwMyLTHIBwOACAE&amp;sclient=gws-wiz-serp</t>
  </si>
  <si>
    <t>2m cable sleeve</t>
  </si>
  <si>
    <t>Expandable Braided Sleeve</t>
  </si>
  <si>
    <t>Expandable Braided Sleeve weight in kg</t>
  </si>
  <si>
    <t>Cable ties (inner case)</t>
  </si>
  <si>
    <t>Cable ties (umbilical)</t>
  </si>
  <si>
    <t>Cable ties (inner case to umbilical)</t>
  </si>
  <si>
    <t>Modbus connector</t>
  </si>
  <si>
    <t>2 row 12P 0.1" crimp housing</t>
  </si>
  <si>
    <t>2 row 12P 0.1" crimp housing weight in kg - Google Search</t>
  </si>
  <si>
    <t>motherboard front panel connector</t>
  </si>
  <si>
    <t>2x8 pin 0.1" crimp housing</t>
  </si>
  <si>
    <t>USB 3 Headers</t>
  </si>
  <si>
    <t>USB 90deg extensions</t>
  </si>
  <si>
    <t>Assume weight as above</t>
  </si>
  <si>
    <t>USB Modbus / RS485 adaptor</t>
  </si>
  <si>
    <t>USB to RS485 Adaptor, 0.1" headers - RS 687-7837</t>
  </si>
  <si>
    <t>USB to RS-485-WE 6 Pin USB to RS485 Serial UART Converter Adapter Cable Wire End FTDI Chip 6ft : Amazon.co.uk: Computers &amp; Accessories</t>
  </si>
  <si>
    <t>Heat shrink for modbus</t>
  </si>
  <si>
    <t>Heat Sinks for voltage regulators</t>
  </si>
  <si>
    <t>17x8mm Heat Sinks</t>
  </si>
  <si>
    <t>Heat Pipe - Insulation Foam Block / filled case</t>
  </si>
  <si>
    <t>Inhouse laser cut - Heat pipe insulation foam block - 0.040kg, nitrile rubber (armaflex)</t>
  </si>
  <si>
    <t>heata</t>
  </si>
  <si>
    <t>Foil tape</t>
  </si>
  <si>
    <t>Heat tape</t>
  </si>
  <si>
    <t>80mm Fan</t>
  </si>
  <si>
    <t>SATA Power Cable</t>
  </si>
  <si>
    <t>Molex to 15 Pin SATA Power</t>
  </si>
  <si>
    <t>SATA Data Cable</t>
  </si>
  <si>
    <t>Comes with motherboard</t>
  </si>
  <si>
    <t>Included in motherboard</t>
  </si>
  <si>
    <t>Insulative spacers</t>
  </si>
  <si>
    <t>M4x12mm screws</t>
  </si>
  <si>
    <t>Chassis Intrusion Switch</t>
  </si>
  <si>
    <t>Chassis Intrusion Bracket</t>
  </si>
  <si>
    <t>security tag</t>
  </si>
  <si>
    <t>Heata MVP CPU Case - outer</t>
  </si>
  <si>
    <t>Outer case - 1.274kg, powder coated sheet steel</t>
  </si>
  <si>
    <t>Thermal Bridge</t>
  </si>
  <si>
    <t>Thermal bridge - 1.434kg, plate alu</t>
  </si>
  <si>
    <t>Heat Pipe Assembly</t>
  </si>
  <si>
    <t>Heat pipe assembly - 1.212kg, copper, alu, water vapor</t>
  </si>
  <si>
    <t>Heat Pipe - CPU brackets</t>
  </si>
  <si>
    <t>Heat pipe CPU brackets - 0.064kg, metal</t>
  </si>
  <si>
    <t>Heat Pipe Thermal Paste</t>
  </si>
  <si>
    <t>Thermal Grizzly Kryonaut 12.5 W/m · K 1 g thermal grease (-200 to 350 ° C)</t>
  </si>
  <si>
    <t>Thermal Cutout - Manual Reset</t>
  </si>
  <si>
    <t>CKC-00082-Thermal Cutout (KSD301M-95AF-BT)</t>
  </si>
  <si>
    <t>Thermal Cutout - Automatic Reset</t>
  </si>
  <si>
    <t>CKC-00082-Thermal Cutout (KSD301A-85AF-BT)</t>
  </si>
  <si>
    <t>Power supply unit</t>
  </si>
  <si>
    <t>PSU Meter Case</t>
  </si>
  <si>
    <t>PSU case - 1.368kg, powder coated sheet steel</t>
  </si>
  <si>
    <t>RJ45 socket</t>
  </si>
  <si>
    <t>RJ12 cable</t>
  </si>
  <si>
    <t>M3 x 6mm screws for brackets to cold plates, SSD to outer case + spares for CPU brackets to hot plates, fan brackets</t>
  </si>
  <si>
    <t>Cable Grommet</t>
  </si>
  <si>
    <t>Leaving CPU case</t>
  </si>
  <si>
    <t>Power Grommet</t>
  </si>
  <si>
    <t>Leaving PSU case</t>
  </si>
  <si>
    <t>Modbus Grommet</t>
  </si>
  <si>
    <t>status LED</t>
  </si>
  <si>
    <t>3.3v led with 6mm panel mount</t>
  </si>
  <si>
    <t>LED holder for 6mm hole</t>
  </si>
  <si>
    <t>0.1" header pins</t>
  </si>
  <si>
    <t>for modbus, front panel connector</t>
  </si>
  <si>
    <t>heat shrink for led holder connections</t>
  </si>
  <si>
    <t>15mm 3:1 heat shrink</t>
  </si>
  <si>
    <t>block for LED end</t>
  </si>
  <si>
    <t>1x4, comes with fan extension cables</t>
  </si>
  <si>
    <t>ATX AUX Power to Relay</t>
  </si>
  <si>
    <t>MAX-MR-RO-1</t>
  </si>
  <si>
    <t>DIN Modbus Relay</t>
  </si>
  <si>
    <t>quicker and more reliable than screw terminals</t>
  </si>
  <si>
    <t>Din Terminals</t>
  </si>
  <si>
    <t>ADL200, DIN Rail, Single Phase, RS485 Modbus Output, MID Certified 230 Vac</t>
  </si>
  <si>
    <t>4mm spikey washer for grounding PSU lid</t>
  </si>
  <si>
    <t>4mm flat washer for grounding PSU lid</t>
  </si>
  <si>
    <t>1.5m 90deg IEC - Powercon</t>
  </si>
  <si>
    <t>IEC / Powercon cable</t>
  </si>
  <si>
    <t>RJ12 (short lead)</t>
  </si>
  <si>
    <t>TBD: Neutrik NAC3MPXXB or NAC3MPXXB</t>
  </si>
  <si>
    <t>Powercon socket for consumer unit</t>
  </si>
  <si>
    <t>4.8mm x 0.5mm</t>
  </si>
  <si>
    <t>Spade connector for powercon socket</t>
  </si>
  <si>
    <t>4 way consumer unit</t>
  </si>
  <si>
    <t>6A C Curve</t>
  </si>
  <si>
    <t>Linky consumer unit</t>
  </si>
  <si>
    <t>MCB</t>
  </si>
  <si>
    <t>TUK KCK66 - 0.096kg, moulded plastic, metal circuitry</t>
  </si>
  <si>
    <t xml:space="preserve">Link </t>
  </si>
  <si>
    <t>RJ12 coupler</t>
  </si>
  <si>
    <t>M32 Keystone mount plate</t>
  </si>
  <si>
    <t>0.006kg, PA12 (nylon)</t>
  </si>
  <si>
    <t>M32 gland locknut</t>
  </si>
  <si>
    <t>Power submeter</t>
  </si>
  <si>
    <t>Acrel - ADL200</t>
  </si>
  <si>
    <t>ADL200 Single Phase Smart Power Meter | Acrel</t>
  </si>
  <si>
    <t>Misc</t>
  </si>
  <si>
    <t>M5 stainless Nuts</t>
  </si>
  <si>
    <t>M5 dog point screws</t>
  </si>
  <si>
    <t>Cat cable from domestic router</t>
  </si>
  <si>
    <t>Passthrough RJ45, correct AWG for cable</t>
  </si>
  <si>
    <t>RJ45 male connector</t>
  </si>
  <si>
    <t>22mm Natural Polyamide P Clip</t>
  </si>
  <si>
    <t>Inter-case Cable Clip</t>
  </si>
  <si>
    <t>Chipboard Screw 100mm</t>
  </si>
  <si>
    <t>Thermal Paste</t>
  </si>
  <si>
    <t>Scotch-Weld™ EPX, Mixing Nozzle, Adhesive, Square Green</t>
  </si>
  <si>
    <t>Epoxy Mixer Nozzle</t>
  </si>
  <si>
    <t>Powerline Adaptor</t>
  </si>
  <si>
    <t>Heavy Duty Rimless Grey Nylon M8 x 40MM</t>
  </si>
  <si>
    <t>Rawl plugs</t>
  </si>
  <si>
    <t>Wall screws</t>
  </si>
  <si>
    <t>Wall plugs</t>
  </si>
  <si>
    <t>Drill bits</t>
  </si>
  <si>
    <t>deprecated</t>
  </si>
  <si>
    <t>Epoxy spreading brushes</t>
  </si>
  <si>
    <t>better in colder weather, no bristles</t>
  </si>
  <si>
    <t>Epoxy spreading tools</t>
  </si>
  <si>
    <t>MG Chemicals 8329TFF-25MG CHEMICALS 8329TFF-25ML Adhesive, Thermally Conductive, 2 Part Epoxy, Beige, 0.8 W/m.K, Syringe, 25 mlML - Adhesive, Thermally Conductive, 2 Part Epoxy</t>
  </si>
  <si>
    <t>Thermal Epoxy (fast cure)</t>
  </si>
  <si>
    <t>8329TFS-25ML Adhesive, Thermally Conductive, Flowable, 2 Part Epoxy, Grey, 1.22 W/m.K, 4.2 MPa, Syringe, 25 ml</t>
  </si>
  <si>
    <t>Thermal Epoxy (slow cure)</t>
  </si>
  <si>
    <t>Lifetime embodied emissions (kgCO2e)</t>
  </si>
  <si>
    <t>2. End of Life emissions</t>
  </si>
  <si>
    <t>Component</t>
  </si>
  <si>
    <t>Emission factor name (waste)</t>
  </si>
  <si>
    <t>Total system weight (kg)</t>
  </si>
  <si>
    <t>Emission Factor (waste) (kgCO2e/kg)</t>
  </si>
  <si>
    <t>Emissions from disposal (kgCO2e)</t>
  </si>
  <si>
    <t>Emission Factor Source (waste)</t>
  </si>
  <si>
    <t>Lifetime EoL emissions (kgCO2e)</t>
  </si>
  <si>
    <t>3. Use-phase emissions</t>
  </si>
  <si>
    <t>Due to the functional unit being per kWh, the heata unit use-phase emissions are equivalent to the data centre server use-phase emissions. Therefore, they are not calculated as there is no change between scenarios</t>
  </si>
  <si>
    <t>Description</t>
  </si>
  <si>
    <t>Source</t>
  </si>
  <si>
    <t>Submeter electricity consumption</t>
  </si>
  <si>
    <t>Acrel ADL200</t>
  </si>
  <si>
    <t>WiFi connectivity electricity consumption</t>
  </si>
  <si>
    <t>Specifications - TL-PA4010P KIT | Passthrough Powerline 600 Starter Kit, 1 Port | TP-Link United Kingdom</t>
  </si>
  <si>
    <t>Powerline only used in a proportion of households</t>
  </si>
  <si>
    <t>Other component calculations</t>
  </si>
  <si>
    <t>Submeter - use-phase emissions</t>
  </si>
  <si>
    <t>Lifetime</t>
  </si>
  <si>
    <t>Powerline WiFi - use-phase emissions</t>
  </si>
  <si>
    <t>4. Lifetime calculations</t>
  </si>
  <si>
    <t>Assumption that each heata unit has a 70% utilisation throughout its lifetime. This is used to calculate the total kWh used in a typical heata lifetime to allocate the embodied and EoL emissions to</t>
  </si>
  <si>
    <t>Second order effects</t>
  </si>
  <si>
    <t>1. Avoided home heating</t>
  </si>
  <si>
    <t>Source:</t>
  </si>
  <si>
    <t>SAP Appendix Q - Scoping Study (Stage 5b) - Heata report FINAL</t>
  </si>
  <si>
    <t>Average property</t>
  </si>
  <si>
    <t xml:space="preserve">Winter gas saving of </t>
  </si>
  <si>
    <t>± 0.66</t>
  </si>
  <si>
    <t>kWh/day</t>
  </si>
  <si>
    <t>per heata unit</t>
  </si>
  <si>
    <t xml:space="preserve">Summer gas saving of </t>
  </si>
  <si>
    <t>± 0.57</t>
  </si>
  <si>
    <t>heata unit utilisation</t>
  </si>
  <si>
    <t>heata units run at 100% utilisation during trial</t>
  </si>
  <si>
    <t>heata unit max power</t>
  </si>
  <si>
    <t>heata unit idle power</t>
  </si>
  <si>
    <t>kWh compute</t>
  </si>
  <si>
    <t>kWh compute / day</t>
  </si>
  <si>
    <t>Pilot data</t>
  </si>
  <si>
    <t>Winter gas saving</t>
  </si>
  <si>
    <t>Summer gas saving</t>
  </si>
  <si>
    <t>Savings per day</t>
  </si>
  <si>
    <t>Note: Using lower bound of reported gas saving</t>
  </si>
  <si>
    <t>Savings per kWh compute</t>
  </si>
  <si>
    <t>Higher order effects</t>
  </si>
  <si>
    <t>Effect</t>
  </si>
  <si>
    <t>Quantitative Assessment</t>
  </si>
  <si>
    <t>Magnitude</t>
  </si>
  <si>
    <t>Likelihood</t>
  </si>
  <si>
    <t>Mitigation</t>
  </si>
  <si>
    <t>Cost savings due to reduced gas consumption</t>
  </si>
  <si>
    <t xml:space="preserve">Gas consumption savings in time period:
</t>
  </si>
  <si>
    <t>Highly likely to occur however the impact will vary significantly on the heata homeowner. In cases where the heata unit address fuel poverty, the impact is likely to be reduced.</t>
  </si>
  <si>
    <t>of total net impact</t>
  </si>
  <si>
    <t>Cost of gas in UK:</t>
  </si>
  <si>
    <t>Annual savings:</t>
  </si>
  <si>
    <t>UK Consumption emissions 2022:</t>
  </si>
  <si>
    <t>MtCO2e</t>
  </si>
  <si>
    <t>UK population 2022:</t>
  </si>
  <si>
    <t>people</t>
  </si>
  <si>
    <t>UK consumption emissions per capita</t>
  </si>
  <si>
    <t>kgCO2e / person</t>
  </si>
  <si>
    <t>UK average household spend</t>
  </si>
  <si>
    <t>UK emissions per £ spent</t>
  </si>
  <si>
    <t>kgCO2e/£</t>
  </si>
  <si>
    <t>Potential rebound emissions</t>
  </si>
  <si>
    <t>UK Consumption emissions</t>
  </si>
  <si>
    <t>carbon_footprint_statistical_release_figures_and_tables_dataset.ods</t>
  </si>
  <si>
    <t>UK Population</t>
  </si>
  <si>
    <t>Estimates of the population for the UK, England, Wales, Scotland, and Northern Ireland - Office for National Statistics</t>
  </si>
  <si>
    <t>UK average annual household spend</t>
  </si>
  <si>
    <t>https://www.nimblefins.co.uk/average-uk-household-budget#nogo</t>
  </si>
  <si>
    <t>Average cost of gas</t>
  </si>
  <si>
    <t>https://energysavingtrust.org.uk/average-uk-energy-bill/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</si>
</sst>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quot;£&quot;#,##0.00;[Red]\-&quot;£&quot;#,##0.00"/>
    <numFmt numFmtId="165" formatCode="_-* #,##0.00_-;\-* #,##0.00_-;_-* &quot;-&quot;??_-;_-@_-"/>
    <numFmt numFmtId="166" formatCode="0.0"/>
    <numFmt numFmtId="167" formatCode="0.000"/>
    <numFmt numFmtId="168" formatCode="0.0%"/>
    <numFmt numFmtId="169" formatCode="0.0000"/>
    <numFmt numFmtId="170" formatCode="\+0.00;\-0.00"/>
    <numFmt numFmtId="171" formatCode="0.00000"/>
    <numFmt numFmtId="172" formatCode="&quot;£&quot;#,##0.0000"/>
    <numFmt numFmtId="173" formatCode="&quot;£&quot;#,##0"/>
    <numFmt numFmtId="174" formatCode="[$$-409]#,##0"/>
    <numFmt numFmtId="175" formatCode="#,##0.000"/>
    <numFmt numFmtId="176" formatCode="#,##0.0000"/>
    <numFmt numFmtId="177" formatCode="#,##0.00000"/>
  </numFmts>
  <fonts count="39">
    <font>
      <sz val="11"/>
      <color theme="1"/>
      <name val="Roboto"/>
      <family val="2"/>
      <scheme val="minor"/>
    </font>
    <font>
      <b/>
      <sz val="11"/>
      <color theme="1"/>
      <name val="Roboto"/>
      <family val="2"/>
      <scheme val="minor"/>
    </font>
    <font>
      <sz val="16"/>
      <color theme="4"/>
      <name val="Crimson Pro"/>
    </font>
    <font>
      <sz val="18"/>
      <color theme="3"/>
      <name val="Crimson Pro"/>
    </font>
    <font>
      <b/>
      <sz val="12"/>
      <color theme="3"/>
      <name val="Roboto"/>
      <family val="2"/>
      <scheme val="minor"/>
    </font>
    <font>
      <b/>
      <sz val="11"/>
      <color theme="4"/>
      <name val="Roboto"/>
      <family val="2"/>
      <scheme val="minor"/>
    </font>
    <font>
      <sz val="10"/>
      <name val="Arial"/>
      <family val="2"/>
    </font>
    <font>
      <sz val="8"/>
      <name val="Roboto"/>
      <family val="2"/>
      <scheme val="minor"/>
    </font>
    <font>
      <sz val="11"/>
      <color theme="1"/>
      <name val="Roboto"/>
      <family val="2"/>
      <scheme val="minor"/>
    </font>
    <font>
      <b/>
      <sz val="11"/>
      <color theme="1"/>
      <name val="Lora"/>
    </font>
    <font>
      <sz val="11"/>
      <color theme="1"/>
      <name val="Lora"/>
    </font>
    <font>
      <b/>
      <sz val="11"/>
      <color theme="0"/>
      <name val="Lora"/>
    </font>
    <font>
      <i/>
      <sz val="11"/>
      <color rgb="FFFF0000"/>
      <name val="Lora"/>
    </font>
    <font>
      <b/>
      <sz val="14"/>
      <color theme="1"/>
      <name val="Lora"/>
    </font>
    <font>
      <sz val="11"/>
      <name val="Lora"/>
    </font>
    <font>
      <sz val="10"/>
      <color theme="1"/>
      <name val="Lora"/>
    </font>
    <font>
      <b/>
      <sz val="10"/>
      <color theme="1"/>
      <name val="Lora"/>
    </font>
    <font>
      <b/>
      <u/>
      <sz val="10"/>
      <color theme="1"/>
      <name val="Lora"/>
    </font>
    <font>
      <sz val="11"/>
      <color theme="1"/>
      <name val="Kigelia Arabic Light"/>
      <family val="2"/>
      <charset val="178"/>
    </font>
    <font>
      <b/>
      <sz val="11"/>
      <color theme="1"/>
      <name val="Kigelia Arabic Light"/>
      <family val="2"/>
      <charset val="178"/>
    </font>
    <font>
      <b/>
      <sz val="11"/>
      <color theme="4"/>
      <name val="Kigelia Arabic Light"/>
      <family val="2"/>
      <charset val="178"/>
    </font>
    <font>
      <b/>
      <u/>
      <sz val="11"/>
      <color theme="1"/>
      <name val="Lora"/>
    </font>
    <font>
      <i/>
      <sz val="11"/>
      <color theme="1"/>
      <name val="Lora"/>
    </font>
    <font>
      <sz val="11"/>
      <color theme="1"/>
      <name val="Kigelia Arabic Light"/>
      <family val="2"/>
    </font>
    <font>
      <i/>
      <sz val="12"/>
      <color theme="0"/>
      <name val="Aptos Narrow"/>
      <family val="2"/>
    </font>
    <font>
      <i/>
      <sz val="11"/>
      <name val="Lora"/>
    </font>
    <font>
      <b/>
      <sz val="14"/>
      <color rgb="FF000000"/>
      <name val="Lora"/>
    </font>
    <font>
      <b/>
      <sz val="11"/>
      <color rgb="FF000000"/>
      <name val="Lora"/>
    </font>
    <font>
      <sz val="11"/>
      <color rgb="FF000000"/>
      <name val="Lora"/>
    </font>
    <font>
      <u/>
      <sz val="11"/>
      <color theme="10"/>
      <name val="Roboto"/>
      <family val="2"/>
      <scheme val="minor"/>
    </font>
    <font>
      <b/>
      <sz val="11"/>
      <color rgb="FFFFFFFF"/>
      <name val="Lora"/>
    </font>
    <font>
      <b/>
      <i/>
      <sz val="11"/>
      <color theme="1"/>
      <name val="Lora"/>
    </font>
    <font>
      <i/>
      <sz val="11"/>
      <color theme="1"/>
      <name val="Roboto"/>
      <scheme val="minor"/>
    </font>
    <font>
      <b/>
      <sz val="10"/>
      <color theme="0"/>
      <name val="Roboto"/>
      <scheme val="minor"/>
    </font>
    <font>
      <sz val="10"/>
      <color theme="1"/>
      <name val="Roboto"/>
      <scheme val="minor"/>
    </font>
    <font>
      <b/>
      <sz val="10"/>
      <color theme="1"/>
      <name val="Roboto"/>
      <scheme val="minor"/>
    </font>
    <font>
      <i/>
      <sz val="11"/>
      <color theme="1"/>
      <name val="Kigelia Arabic Light"/>
      <family val="2"/>
    </font>
    <font>
      <sz val="11"/>
      <name val="Roboto"/>
      <family val="2"/>
      <scheme val="minor"/>
    </font>
    <font>
      <sz val="11"/>
      <color theme="0"/>
      <name val="Lora"/>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rgb="FFA6D9F7"/>
        <bgColor indexed="64"/>
      </patternFill>
    </fill>
    <fill>
      <patternFill patternType="solid">
        <fgColor rgb="FF366340"/>
        <bgColor indexed="64"/>
      </patternFill>
    </fill>
    <fill>
      <patternFill patternType="solid">
        <fgColor rgb="FFF5F17F"/>
        <bgColor indexed="64"/>
      </patternFill>
    </fill>
    <fill>
      <patternFill patternType="solid">
        <fgColor rgb="FFFFFFE1"/>
        <bgColor indexed="64"/>
      </patternFill>
    </fill>
    <fill>
      <patternFill patternType="solid">
        <fgColor theme="0" tint="-0.14999847407452621"/>
        <bgColor indexed="64"/>
      </patternFill>
    </fill>
    <fill>
      <patternFill patternType="solid">
        <fgColor rgb="FFCCFFE1"/>
        <bgColor rgb="FF000000"/>
      </patternFill>
    </fill>
    <fill>
      <patternFill patternType="solid">
        <fgColor rgb="FFD1D9FC"/>
        <bgColor rgb="FF000000"/>
      </patternFill>
    </fill>
    <fill>
      <patternFill patternType="solid">
        <fgColor theme="3" tint="0.89999084444715716"/>
        <bgColor indexed="64"/>
      </patternFill>
    </fill>
    <fill>
      <patternFill patternType="solid">
        <fgColor rgb="FF000000"/>
        <bgColor rgb="FF000000"/>
      </patternFill>
    </fill>
    <fill>
      <patternFill patternType="solid">
        <fgColor rgb="FFD1D9FC"/>
        <bgColor indexed="64"/>
      </patternFill>
    </fill>
    <fill>
      <patternFill patternType="solid">
        <fgColor rgb="FFCCFFE1"/>
        <bgColor indexed="64"/>
      </patternFill>
    </fill>
    <fill>
      <patternFill patternType="solid">
        <fgColor theme="0" tint="-0.14999847407452621"/>
        <bgColor rgb="FF000000"/>
      </patternFill>
    </fill>
    <fill>
      <patternFill patternType="solid">
        <fgColor rgb="FFCED3CE"/>
        <bgColor indexed="64"/>
      </patternFill>
    </fill>
  </fills>
  <borders count="33">
    <border>
      <left/>
      <right/>
      <top/>
      <bottom/>
      <diagonal/>
    </border>
    <border>
      <left/>
      <right/>
      <top/>
      <bottom style="thick">
        <color theme="4" tint="0.499984740745262"/>
      </bottom>
      <diagonal/>
    </border>
    <border>
      <left/>
      <right/>
      <top/>
      <bottom style="thick">
        <color theme="7"/>
      </bottom>
      <diagonal/>
    </border>
    <border>
      <left/>
      <right/>
      <top style="double">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rgb="FF000000"/>
      </right>
      <top/>
      <bottom style="thin">
        <color rgb="FF00000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rgb="FF000000"/>
      </left>
      <right/>
      <top style="thin">
        <color rgb="FF000000"/>
      </top>
      <bottom/>
      <diagonal/>
    </border>
  </borders>
  <cellStyleXfs count="11">
    <xf numFmtId="0" fontId="0" fillId="0" borderId="0"/>
    <xf numFmtId="0" fontId="3" fillId="0" borderId="2" applyNumberFormat="0" applyFill="0" applyAlignment="0" applyProtection="0"/>
    <xf numFmtId="0" fontId="2" fillId="0" borderId="1" applyNumberFormat="0" applyFill="0" applyBorder="0" applyAlignment="0" applyProtection="0"/>
    <xf numFmtId="0" fontId="4" fillId="0" borderId="0" applyNumberFormat="0" applyFill="0" applyAlignment="0" applyProtection="0"/>
    <xf numFmtId="0" fontId="5" fillId="0" borderId="0" applyNumberFormat="0" applyFill="0" applyBorder="0" applyAlignment="0" applyProtection="0"/>
    <xf numFmtId="0" fontId="1" fillId="0" borderId="3" applyNumberFormat="0" applyFill="0" applyAlignment="0" applyProtection="0"/>
    <xf numFmtId="0" fontId="6" fillId="0" borderId="0"/>
    <xf numFmtId="9" fontId="8" fillId="0" borderId="0" applyFont="0" applyFill="0" applyBorder="0" applyAlignment="0" applyProtection="0"/>
    <xf numFmtId="165" fontId="8" fillId="0" borderId="0" applyFont="0" applyFill="0" applyBorder="0" applyAlignment="0" applyProtection="0"/>
    <xf numFmtId="0" fontId="29" fillId="0" borderId="0" applyNumberFormat="0" applyFill="0" applyBorder="0" applyAlignment="0" applyProtection="0"/>
    <xf numFmtId="165" fontId="8" fillId="0" borderId="0" applyFont="0" applyFill="0" applyBorder="0" applyAlignment="0" applyProtection="0"/>
  </cellStyleXfs>
  <cellXfs count="195">
    <xf numFmtId="0" fontId="0" fillId="0" borderId="0" xfId="0"/>
    <xf numFmtId="0" fontId="9" fillId="0" borderId="0" xfId="0" applyFont="1"/>
    <xf numFmtId="0" fontId="10" fillId="0" borderId="0" xfId="0" applyFont="1"/>
    <xf numFmtId="0" fontId="10" fillId="0" borderId="0" xfId="0" applyFont="1" applyAlignment="1">
      <alignment wrapText="1"/>
    </xf>
    <xf numFmtId="0" fontId="11" fillId="4" borderId="0" xfId="0" applyFont="1" applyFill="1" applyAlignment="1">
      <alignment horizontal="left"/>
    </xf>
    <xf numFmtId="0" fontId="11" fillId="4" borderId="0" xfId="0" applyFont="1" applyFill="1" applyAlignment="1">
      <alignment horizontal="left" wrapText="1"/>
    </xf>
    <xf numFmtId="0" fontId="11" fillId="4" borderId="0" xfId="0" applyFont="1" applyFill="1" applyAlignment="1">
      <alignment horizontal="center" vertical="center"/>
    </xf>
    <xf numFmtId="0" fontId="11" fillId="4" borderId="0" xfId="0" applyFont="1" applyFill="1" applyAlignment="1">
      <alignment horizontal="center" vertical="center" wrapText="1"/>
    </xf>
    <xf numFmtId="0" fontId="10" fillId="0" borderId="4" xfId="0" applyFont="1" applyBorder="1" applyProtection="1">
      <protection locked="0"/>
    </xf>
    <xf numFmtId="0" fontId="10" fillId="0" borderId="4" xfId="0" applyFont="1" applyBorder="1" applyAlignment="1">
      <alignment horizontal="center" vertical="center"/>
    </xf>
    <xf numFmtId="2" fontId="10" fillId="0" borderId="4" xfId="0" applyNumberFormat="1" applyFont="1" applyBorder="1" applyAlignment="1">
      <alignment horizontal="center" vertical="center"/>
    </xf>
    <xf numFmtId="0" fontId="12" fillId="0" borderId="0" xfId="0" applyFont="1"/>
    <xf numFmtId="0" fontId="11" fillId="3" borderId="4" xfId="0" applyFont="1" applyFill="1" applyBorder="1" applyAlignment="1">
      <alignment horizontal="left" wrapText="1"/>
    </xf>
    <xf numFmtId="0" fontId="11" fillId="3" borderId="4" xfId="0" applyFont="1" applyFill="1" applyBorder="1" applyAlignment="1">
      <alignment horizontal="center" wrapText="1"/>
    </xf>
    <xf numFmtId="0" fontId="9" fillId="0" borderId="4" xfId="0" applyFont="1" applyBorder="1" applyAlignment="1">
      <alignment vertical="center" wrapText="1"/>
    </xf>
    <xf numFmtId="0" fontId="10" fillId="0" borderId="4" xfId="0" applyFont="1" applyBorder="1" applyAlignment="1">
      <alignment horizontal="center" vertical="center" wrapText="1"/>
    </xf>
    <xf numFmtId="166" fontId="10" fillId="0" borderId="4" xfId="0" applyNumberFormat="1" applyFont="1" applyBorder="1" applyAlignment="1">
      <alignment horizontal="center" vertical="center"/>
    </xf>
    <xf numFmtId="0" fontId="10" fillId="0" borderId="0" xfId="0" applyFont="1" applyAlignment="1">
      <alignment horizontal="center" wrapText="1"/>
    </xf>
    <xf numFmtId="0" fontId="12" fillId="0" borderId="0" xfId="0" applyFont="1" applyAlignment="1">
      <alignment vertical="center"/>
    </xf>
    <xf numFmtId="0" fontId="9" fillId="0" borderId="4" xfId="0" applyFont="1" applyBorder="1" applyAlignment="1">
      <alignment vertical="center"/>
    </xf>
    <xf numFmtId="0" fontId="10" fillId="0" borderId="4" xfId="0" applyFont="1" applyBorder="1" applyAlignment="1">
      <alignment horizontal="center"/>
    </xf>
    <xf numFmtId="0" fontId="13" fillId="0" borderId="0" xfId="0" applyFont="1"/>
    <xf numFmtId="0" fontId="10" fillId="0" borderId="7" xfId="0" applyFont="1" applyBorder="1"/>
    <xf numFmtId="0" fontId="11" fillId="3" borderId="0" xfId="0" applyFont="1" applyFill="1" applyAlignment="1">
      <alignment horizontal="left"/>
    </xf>
    <xf numFmtId="0" fontId="10" fillId="0" borderId="4" xfId="0" applyFont="1" applyBorder="1"/>
    <xf numFmtId="3" fontId="10" fillId="0" borderId="4" xfId="0" applyNumberFormat="1" applyFont="1" applyBorder="1" applyProtection="1">
      <protection locked="0"/>
    </xf>
    <xf numFmtId="2" fontId="10" fillId="0" borderId="4" xfId="0" applyNumberFormat="1" applyFont="1" applyBorder="1"/>
    <xf numFmtId="9" fontId="10" fillId="0" borderId="4" xfId="0" applyNumberFormat="1" applyFont="1" applyBorder="1"/>
    <xf numFmtId="0" fontId="9" fillId="0" borderId="0" xfId="0" applyFont="1" applyAlignment="1">
      <alignment wrapText="1"/>
    </xf>
    <xf numFmtId="0" fontId="9"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horizontal="left" vertical="center" wrapText="1" indent="5"/>
    </xf>
    <xf numFmtId="0" fontId="17" fillId="0" borderId="0" xfId="0" applyFont="1" applyAlignment="1">
      <alignment vertical="center" wrapText="1"/>
    </xf>
    <xf numFmtId="0" fontId="10" fillId="0" borderId="0" xfId="0" applyFont="1" applyAlignment="1">
      <alignment vertical="center"/>
    </xf>
    <xf numFmtId="0" fontId="11" fillId="3" borderId="0" xfId="0" applyFont="1" applyFill="1" applyAlignment="1">
      <alignment horizontal="left" vertical="center" wrapText="1"/>
    </xf>
    <xf numFmtId="0" fontId="11" fillId="3" borderId="0" xfId="0" applyFont="1" applyFill="1" applyAlignment="1">
      <alignment horizontal="center" vertical="center" wrapText="1"/>
    </xf>
    <xf numFmtId="2" fontId="10" fillId="0" borderId="4" xfId="0" applyNumberFormat="1" applyFont="1" applyBorder="1" applyAlignment="1">
      <alignment horizontal="center"/>
    </xf>
    <xf numFmtId="168" fontId="10" fillId="0" borderId="4" xfId="7" applyNumberFormat="1" applyFont="1" applyBorder="1"/>
    <xf numFmtId="168" fontId="10" fillId="0" borderId="0" xfId="7" applyNumberFormat="1" applyFont="1"/>
    <xf numFmtId="0" fontId="19" fillId="0" borderId="0" xfId="0" applyFont="1"/>
    <xf numFmtId="0" fontId="18" fillId="0" borderId="0" xfId="0" applyFont="1"/>
    <xf numFmtId="0" fontId="18" fillId="0" borderId="6" xfId="0" applyFont="1" applyBorder="1"/>
    <xf numFmtId="0" fontId="20" fillId="0" borderId="0" xfId="4" applyFont="1"/>
    <xf numFmtId="0" fontId="22" fillId="0" borderId="0" xfId="0" applyFont="1"/>
    <xf numFmtId="0" fontId="10" fillId="0" borderId="0" xfId="0" applyFont="1" applyAlignment="1">
      <alignment horizontal="center"/>
    </xf>
    <xf numFmtId="2" fontId="10" fillId="0" borderId="4" xfId="0" applyNumberFormat="1" applyFont="1" applyBorder="1" applyAlignment="1">
      <alignment horizontal="center" vertical="center" wrapText="1"/>
    </xf>
    <xf numFmtId="0" fontId="23" fillId="0" borderId="0" xfId="0" applyFont="1"/>
    <xf numFmtId="0" fontId="22" fillId="5" borderId="0" xfId="0" applyFont="1" applyFill="1"/>
    <xf numFmtId="0" fontId="24" fillId="6" borderId="0" xfId="0" applyFont="1" applyFill="1"/>
    <xf numFmtId="0" fontId="21" fillId="0" borderId="0" xfId="0" applyFont="1" applyAlignment="1">
      <alignment wrapText="1"/>
    </xf>
    <xf numFmtId="0" fontId="21" fillId="0" borderId="0" xfId="0" applyFont="1" applyAlignment="1">
      <alignment vertical="center" wrapText="1"/>
    </xf>
    <xf numFmtId="1" fontId="10" fillId="0" borderId="4" xfId="0" applyNumberFormat="1" applyFont="1" applyBorder="1" applyAlignment="1">
      <alignment horizontal="center"/>
    </xf>
    <xf numFmtId="0" fontId="10" fillId="0" borderId="0" xfId="0" applyFont="1" applyProtection="1">
      <protection locked="0"/>
    </xf>
    <xf numFmtId="3" fontId="10" fillId="0" borderId="0" xfId="0" applyNumberFormat="1" applyFont="1" applyProtection="1">
      <protection locked="0"/>
    </xf>
    <xf numFmtId="0" fontId="11" fillId="4" borderId="4" xfId="0" applyFont="1" applyFill="1" applyBorder="1" applyAlignment="1">
      <alignment horizontal="center" vertical="center" wrapText="1"/>
    </xf>
    <xf numFmtId="0" fontId="10" fillId="0" borderId="11" xfId="0" applyFont="1" applyBorder="1" applyAlignment="1">
      <alignment horizontal="center" vertical="center"/>
    </xf>
    <xf numFmtId="169" fontId="10" fillId="0" borderId="4" xfId="0" applyNumberFormat="1" applyFont="1" applyBorder="1"/>
    <xf numFmtId="169" fontId="14" fillId="0" borderId="4" xfId="0" applyNumberFormat="1" applyFont="1" applyBorder="1"/>
    <xf numFmtId="0" fontId="0" fillId="0" borderId="0" xfId="0" applyAlignment="1">
      <alignment horizontal="left" vertical="center"/>
    </xf>
    <xf numFmtId="0" fontId="26" fillId="0" borderId="0" xfId="0" applyFont="1" applyAlignment="1">
      <alignment horizontal="left" vertical="center"/>
    </xf>
    <xf numFmtId="0" fontId="27" fillId="0" borderId="13" xfId="0" applyFont="1" applyBorder="1" applyAlignment="1">
      <alignment horizontal="left" vertical="center"/>
    </xf>
    <xf numFmtId="0" fontId="28" fillId="10" borderId="14" xfId="0" applyFont="1" applyFill="1" applyBorder="1" applyAlignment="1">
      <alignment horizontal="left" vertical="center"/>
    </xf>
    <xf numFmtId="0" fontId="28" fillId="11" borderId="15" xfId="0" applyFont="1" applyFill="1" applyBorder="1" applyAlignment="1">
      <alignment horizontal="left" vertical="center"/>
    </xf>
    <xf numFmtId="0" fontId="0" fillId="12" borderId="0" xfId="0" applyFill="1" applyAlignment="1">
      <alignment horizontal="left" vertical="center"/>
    </xf>
    <xf numFmtId="0" fontId="27" fillId="12" borderId="0" xfId="0" applyFont="1" applyFill="1" applyAlignment="1">
      <alignment horizontal="left" vertical="center"/>
    </xf>
    <xf numFmtId="0" fontId="27" fillId="2" borderId="0" xfId="0" applyFont="1" applyFill="1" applyAlignment="1">
      <alignment horizontal="left" vertical="center"/>
    </xf>
    <xf numFmtId="0" fontId="0" fillId="0" borderId="0" xfId="0" applyAlignment="1">
      <alignment horizontal="left" vertical="center" wrapText="1"/>
    </xf>
    <xf numFmtId="0" fontId="11" fillId="3" borderId="16"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19" xfId="0" applyFont="1" applyFill="1" applyBorder="1" applyAlignment="1">
      <alignment horizontal="left" vertical="center"/>
    </xf>
    <xf numFmtId="0" fontId="28" fillId="2" borderId="16" xfId="0" applyFont="1" applyFill="1" applyBorder="1" applyAlignment="1">
      <alignment horizontal="left" vertical="center"/>
    </xf>
    <xf numFmtId="0" fontId="28" fillId="2" borderId="16" xfId="0" applyFont="1" applyFill="1" applyBorder="1" applyAlignment="1">
      <alignment horizontal="left" vertical="center" wrapText="1"/>
    </xf>
    <xf numFmtId="0" fontId="28" fillId="10" borderId="16" xfId="0" applyFont="1" applyFill="1" applyBorder="1" applyAlignment="1">
      <alignment horizontal="left" vertical="center"/>
    </xf>
    <xf numFmtId="0" fontId="29" fillId="0" borderId="20" xfId="9" applyBorder="1" applyAlignment="1">
      <alignment horizontal="left" vertical="center" wrapText="1"/>
    </xf>
    <xf numFmtId="0" fontId="28" fillId="11" borderId="16" xfId="0" applyFont="1" applyFill="1" applyBorder="1" applyAlignment="1">
      <alignment horizontal="left" vertical="center"/>
    </xf>
    <xf numFmtId="0" fontId="29" fillId="0" borderId="20" xfId="9" applyBorder="1" applyAlignment="1">
      <alignment horizontal="left" vertical="center"/>
    </xf>
    <xf numFmtId="0" fontId="29" fillId="0" borderId="0" xfId="9"/>
    <xf numFmtId="0" fontId="11" fillId="3" borderId="17" xfId="0" applyFont="1" applyFill="1" applyBorder="1" applyAlignment="1">
      <alignment horizontal="left" vertical="center" wrapText="1"/>
    </xf>
    <xf numFmtId="0" fontId="30" fillId="13" borderId="0" xfId="0" applyFont="1" applyFill="1" applyAlignment="1">
      <alignment horizontal="left" vertical="center" wrapText="1"/>
    </xf>
    <xf numFmtId="167" fontId="28" fillId="11" borderId="16" xfId="0" applyNumberFormat="1" applyFont="1" applyFill="1" applyBorder="1" applyAlignment="1">
      <alignment horizontal="left" vertical="center"/>
    </xf>
    <xf numFmtId="0" fontId="29" fillId="0" borderId="4" xfId="9" applyFill="1" applyBorder="1"/>
    <xf numFmtId="0" fontId="10" fillId="0" borderId="4" xfId="0" applyFont="1" applyBorder="1" applyAlignment="1" applyProtection="1">
      <alignment horizontal="center"/>
      <protection locked="0"/>
    </xf>
    <xf numFmtId="0" fontId="10" fillId="0" borderId="9" xfId="0" applyFont="1" applyBorder="1" applyAlignment="1" applyProtection="1">
      <alignment horizontal="center"/>
      <protection locked="0"/>
    </xf>
    <xf numFmtId="0" fontId="10" fillId="14" borderId="4" xfId="0" applyFont="1" applyFill="1" applyBorder="1" applyAlignment="1">
      <alignment horizontal="center" vertical="center"/>
    </xf>
    <xf numFmtId="2" fontId="10" fillId="14" borderId="4" xfId="0" applyNumberFormat="1" applyFont="1" applyFill="1" applyBorder="1" applyAlignment="1">
      <alignment horizontal="center" vertical="center"/>
    </xf>
    <xf numFmtId="0" fontId="10" fillId="0" borderId="4" xfId="0" applyFont="1" applyBorder="1" applyAlignment="1">
      <alignment horizontal="centerContinuous" vertical="center" wrapText="1"/>
    </xf>
    <xf numFmtId="0" fontId="27" fillId="0" borderId="4" xfId="0" applyFont="1" applyBorder="1" applyAlignment="1">
      <alignment vertical="center" wrapText="1"/>
    </xf>
    <xf numFmtId="0" fontId="10" fillId="0" borderId="11" xfId="0" applyFont="1" applyBorder="1" applyAlignment="1">
      <alignment horizontal="centerContinuous" vertical="center" wrapText="1"/>
    </xf>
    <xf numFmtId="0" fontId="10" fillId="0" borderId="12" xfId="0" applyFont="1" applyBorder="1" applyAlignment="1">
      <alignment horizontal="centerContinuous" vertical="center" wrapText="1"/>
    </xf>
    <xf numFmtId="0" fontId="10" fillId="0" borderId="5" xfId="0" applyFont="1" applyBorder="1" applyAlignment="1">
      <alignment horizontal="centerContinuous" vertical="center" wrapText="1"/>
    </xf>
    <xf numFmtId="2" fontId="10" fillId="0" borderId="11" xfId="0" applyNumberFormat="1" applyFont="1" applyBorder="1" applyAlignment="1">
      <alignment horizontal="center" vertical="center"/>
    </xf>
    <xf numFmtId="0" fontId="11" fillId="4" borderId="0" xfId="0" applyFont="1" applyFill="1" applyAlignment="1">
      <alignment horizontal="center" wrapText="1"/>
    </xf>
    <xf numFmtId="4" fontId="10" fillId="15" borderId="4" xfId="0" applyNumberFormat="1" applyFont="1" applyFill="1" applyBorder="1" applyAlignment="1">
      <alignment horizontal="center" vertical="center"/>
    </xf>
    <xf numFmtId="0" fontId="10" fillId="0" borderId="9" xfId="0" applyFont="1" applyBorder="1" applyAlignment="1">
      <alignment horizontal="centerContinuous" vertical="center" wrapText="1"/>
    </xf>
    <xf numFmtId="2" fontId="10" fillId="0" borderId="10" xfId="0" applyNumberFormat="1" applyFont="1" applyBorder="1" applyAlignment="1">
      <alignment horizontal="center" vertical="center" wrapText="1"/>
    </xf>
    <xf numFmtId="0" fontId="11" fillId="4" borderId="4" xfId="0" applyFont="1" applyFill="1" applyBorder="1" applyAlignment="1">
      <alignment horizontal="center" vertical="center"/>
    </xf>
    <xf numFmtId="9" fontId="10" fillId="15" borderId="4" xfId="7" applyFont="1" applyFill="1" applyBorder="1" applyAlignment="1">
      <alignment horizontal="center"/>
    </xf>
    <xf numFmtId="165" fontId="10" fillId="14" borderId="4" xfId="8" applyFont="1" applyFill="1" applyBorder="1"/>
    <xf numFmtId="165" fontId="10" fillId="14" borderId="4" xfId="0" applyNumberFormat="1" applyFont="1" applyFill="1" applyBorder="1"/>
    <xf numFmtId="10" fontId="10" fillId="14" borderId="4" xfId="7" applyNumberFormat="1" applyFont="1" applyFill="1" applyBorder="1"/>
    <xf numFmtId="170" fontId="10" fillId="0" borderId="4" xfId="0" applyNumberFormat="1" applyFont="1" applyBorder="1" applyAlignment="1">
      <alignment horizontal="center" vertical="center" wrapText="1"/>
    </xf>
    <xf numFmtId="0" fontId="28" fillId="2" borderId="4" xfId="0" applyFont="1" applyFill="1" applyBorder="1" applyAlignment="1">
      <alignment horizontal="left" vertical="center"/>
    </xf>
    <xf numFmtId="0" fontId="10" fillId="14" borderId="4" xfId="0" applyFont="1" applyFill="1" applyBorder="1"/>
    <xf numFmtId="0" fontId="10" fillId="15" borderId="4" xfId="0" applyFont="1" applyFill="1" applyBorder="1"/>
    <xf numFmtId="0" fontId="31" fillId="0" borderId="0" xfId="0" applyFont="1"/>
    <xf numFmtId="0" fontId="28" fillId="0" borderId="16" xfId="0" applyFont="1" applyBorder="1" applyAlignment="1">
      <alignment horizontal="left" vertical="center"/>
    </xf>
    <xf numFmtId="164" fontId="0" fillId="0" borderId="0" xfId="0" applyNumberFormat="1"/>
    <xf numFmtId="0" fontId="28" fillId="10" borderId="17" xfId="0" applyFont="1" applyFill="1" applyBorder="1" applyAlignment="1">
      <alignment horizontal="left" vertical="center"/>
    </xf>
    <xf numFmtId="0" fontId="29" fillId="0" borderId="18" xfId="9" applyBorder="1" applyAlignment="1">
      <alignment horizontal="left" vertical="center" wrapText="1"/>
    </xf>
    <xf numFmtId="0" fontId="29" fillId="0" borderId="22" xfId="9" applyBorder="1" applyAlignment="1">
      <alignment horizontal="left" vertical="center" wrapText="1"/>
    </xf>
    <xf numFmtId="0" fontId="29" fillId="0" borderId="4" xfId="9" applyBorder="1" applyAlignment="1">
      <alignment horizontal="left" vertical="center" wrapText="1"/>
    </xf>
    <xf numFmtId="0" fontId="0" fillId="0" borderId="4" xfId="0" applyBorder="1"/>
    <xf numFmtId="0" fontId="29" fillId="2" borderId="4" xfId="9" applyFill="1" applyBorder="1" applyAlignment="1">
      <alignment horizontal="left" vertical="center"/>
    </xf>
    <xf numFmtId="171" fontId="28" fillId="11" borderId="16" xfId="0" applyNumberFormat="1" applyFont="1" applyFill="1" applyBorder="1" applyAlignment="1">
      <alignment horizontal="left" vertical="center"/>
    </xf>
    <xf numFmtId="0" fontId="28" fillId="9" borderId="16" xfId="0" applyFont="1" applyFill="1" applyBorder="1" applyAlignment="1">
      <alignment horizontal="left" vertical="center" wrapText="1"/>
    </xf>
    <xf numFmtId="0" fontId="28" fillId="16" borderId="17" xfId="0" applyFont="1" applyFill="1" applyBorder="1" applyAlignment="1">
      <alignment horizontal="left" vertical="center"/>
    </xf>
    <xf numFmtId="0" fontId="28" fillId="16" borderId="16" xfId="0" applyFont="1" applyFill="1" applyBorder="1" applyAlignment="1">
      <alignment horizontal="left" vertical="center"/>
    </xf>
    <xf numFmtId="0" fontId="29" fillId="9" borderId="18" xfId="9" applyFill="1" applyBorder="1" applyAlignment="1">
      <alignment horizontal="left" vertical="center" wrapText="1"/>
    </xf>
    <xf numFmtId="0" fontId="28" fillId="9" borderId="19" xfId="0" applyFont="1" applyFill="1" applyBorder="1" applyAlignment="1">
      <alignment horizontal="left" vertical="center"/>
    </xf>
    <xf numFmtId="167" fontId="28" fillId="16" borderId="19" xfId="0" applyNumberFormat="1" applyFont="1" applyFill="1" applyBorder="1" applyAlignment="1">
      <alignment horizontal="left" vertical="center"/>
    </xf>
    <xf numFmtId="167" fontId="28" fillId="16" borderId="16" xfId="0" applyNumberFormat="1" applyFont="1" applyFill="1" applyBorder="1" applyAlignment="1">
      <alignment horizontal="left" vertical="center"/>
    </xf>
    <xf numFmtId="0" fontId="27" fillId="9" borderId="16" xfId="0" applyFont="1" applyFill="1" applyBorder="1" applyAlignment="1">
      <alignment horizontal="left" vertical="center"/>
    </xf>
    <xf numFmtId="0" fontId="32" fillId="0" borderId="0" xfId="0" applyFont="1"/>
    <xf numFmtId="4" fontId="10" fillId="0" borderId="4" xfId="0" applyNumberFormat="1" applyFont="1" applyBorder="1" applyProtection="1">
      <protection locked="0"/>
    </xf>
    <xf numFmtId="0" fontId="10" fillId="0" borderId="11" xfId="0" applyFont="1" applyBorder="1"/>
    <xf numFmtId="9" fontId="10" fillId="0" borderId="11" xfId="0" applyNumberFormat="1" applyFont="1" applyBorder="1"/>
    <xf numFmtId="0" fontId="33" fillId="6" borderId="23" xfId="0" applyFont="1" applyFill="1" applyBorder="1"/>
    <xf numFmtId="0" fontId="34" fillId="17" borderId="25" xfId="0" applyFont="1" applyFill="1" applyBorder="1" applyAlignment="1">
      <alignment vertical="top" wrapText="1"/>
    </xf>
    <xf numFmtId="0" fontId="33" fillId="6" borderId="26" xfId="0" applyFont="1" applyFill="1" applyBorder="1"/>
    <xf numFmtId="0" fontId="33" fillId="6" borderId="27" xfId="0" applyFont="1" applyFill="1" applyBorder="1"/>
    <xf numFmtId="0" fontId="35" fillId="17" borderId="29" xfId="0" applyFont="1" applyFill="1" applyBorder="1" applyAlignment="1">
      <alignment vertical="top" wrapText="1"/>
    </xf>
    <xf numFmtId="0" fontId="34" fillId="17" borderId="31" xfId="0" applyFont="1" applyFill="1" applyBorder="1" applyAlignment="1">
      <alignment horizontal="left" vertical="top" wrapText="1"/>
    </xf>
    <xf numFmtId="0" fontId="35" fillId="17" borderId="30" xfId="0" applyFont="1" applyFill="1" applyBorder="1" applyAlignment="1">
      <alignment wrapText="1"/>
    </xf>
    <xf numFmtId="0" fontId="35" fillId="17" borderId="31" xfId="0" applyFont="1" applyFill="1" applyBorder="1" applyAlignment="1">
      <alignment wrapText="1"/>
    </xf>
    <xf numFmtId="172" fontId="34" fillId="17" borderId="30" xfId="0" applyNumberFormat="1" applyFont="1" applyFill="1" applyBorder="1" applyAlignment="1">
      <alignment horizontal="left" vertical="top" wrapText="1"/>
    </xf>
    <xf numFmtId="172" fontId="34" fillId="17" borderId="31" xfId="0" applyNumberFormat="1" applyFont="1" applyFill="1" applyBorder="1" applyAlignment="1">
      <alignment horizontal="left" vertical="top" wrapText="1"/>
    </xf>
    <xf numFmtId="173" fontId="34" fillId="17" borderId="30" xfId="0" applyNumberFormat="1" applyFont="1" applyFill="1" applyBorder="1" applyAlignment="1">
      <alignment horizontal="left" vertical="top" wrapText="1"/>
    </xf>
    <xf numFmtId="173" fontId="34" fillId="17" borderId="31" xfId="0" applyNumberFormat="1" applyFont="1" applyFill="1" applyBorder="1" applyAlignment="1">
      <alignment horizontal="left" vertical="top" wrapText="1"/>
    </xf>
    <xf numFmtId="0" fontId="35" fillId="17" borderId="30" xfId="0" applyFont="1" applyFill="1" applyBorder="1"/>
    <xf numFmtId="174" fontId="34" fillId="17" borderId="31" xfId="0" applyNumberFormat="1" applyFont="1" applyFill="1" applyBorder="1" applyAlignment="1">
      <alignment horizontal="left" vertical="top" wrapText="1"/>
    </xf>
    <xf numFmtId="2" fontId="34" fillId="17" borderId="30" xfId="0" applyNumberFormat="1" applyFont="1" applyFill="1" applyBorder="1" applyAlignment="1">
      <alignment horizontal="left" vertical="top" wrapText="1"/>
    </xf>
    <xf numFmtId="1" fontId="34" fillId="17" borderId="30" xfId="0" applyNumberFormat="1" applyFont="1" applyFill="1" applyBorder="1" applyAlignment="1">
      <alignment horizontal="left" vertical="top" wrapText="1"/>
    </xf>
    <xf numFmtId="3" fontId="34" fillId="17" borderId="30" xfId="0" applyNumberFormat="1" applyFont="1" applyFill="1" applyBorder="1" applyAlignment="1">
      <alignment horizontal="left" vertical="top" wrapText="1"/>
    </xf>
    <xf numFmtId="175" fontId="10" fillId="0" borderId="4" xfId="0" applyNumberFormat="1" applyFont="1" applyBorder="1" applyProtection="1">
      <protection locked="0"/>
    </xf>
    <xf numFmtId="167" fontId="28" fillId="11" borderId="4" xfId="0" applyNumberFormat="1" applyFont="1" applyFill="1" applyBorder="1" applyAlignment="1">
      <alignment horizontal="left" vertical="center"/>
    </xf>
    <xf numFmtId="1" fontId="10" fillId="0" borderId="4" xfId="0" applyNumberFormat="1" applyFont="1" applyBorder="1"/>
    <xf numFmtId="9" fontId="10" fillId="0" borderId="4" xfId="7" applyFont="1" applyBorder="1"/>
    <xf numFmtId="176" fontId="10" fillId="0" borderId="4" xfId="0" applyNumberFormat="1" applyFont="1" applyBorder="1" applyProtection="1">
      <protection locked="0"/>
    </xf>
    <xf numFmtId="177" fontId="10" fillId="0" borderId="4" xfId="0" applyNumberFormat="1" applyFont="1" applyBorder="1" applyProtection="1">
      <protection locked="0"/>
    </xf>
    <xf numFmtId="0" fontId="11" fillId="3" borderId="32" xfId="0" applyFont="1" applyFill="1" applyBorder="1" applyAlignment="1">
      <alignment horizontal="left" vertical="center"/>
    </xf>
    <xf numFmtId="2" fontId="28" fillId="11" borderId="16" xfId="0" applyNumberFormat="1" applyFont="1" applyFill="1" applyBorder="1" applyAlignment="1">
      <alignment horizontal="left" vertical="center"/>
    </xf>
    <xf numFmtId="9" fontId="10" fillId="7" borderId="4" xfId="0" applyNumberFormat="1" applyFont="1" applyFill="1" applyBorder="1" applyAlignment="1">
      <alignment horizontal="center"/>
    </xf>
    <xf numFmtId="1" fontId="10" fillId="0" borderId="4" xfId="7" applyNumberFormat="1" applyFont="1" applyBorder="1"/>
    <xf numFmtId="0" fontId="36" fillId="0" borderId="0" xfId="0" applyFont="1" applyProtection="1">
      <protection locked="0"/>
    </xf>
    <xf numFmtId="3" fontId="10" fillId="0" borderId="4" xfId="0" applyNumberFormat="1" applyFont="1" applyBorder="1" applyAlignment="1">
      <alignment horizontal="center" vertical="center"/>
    </xf>
    <xf numFmtId="0" fontId="35" fillId="17" borderId="28" xfId="0" applyFont="1" applyFill="1" applyBorder="1" applyAlignment="1">
      <alignment vertical="top" wrapText="1"/>
    </xf>
    <xf numFmtId="175" fontId="10" fillId="15" borderId="4" xfId="0" applyNumberFormat="1" applyFont="1" applyFill="1" applyBorder="1" applyAlignment="1">
      <alignment horizontal="center" vertical="center"/>
    </xf>
    <xf numFmtId="177" fontId="10" fillId="15" borderId="4" xfId="0" applyNumberFormat="1" applyFont="1" applyFill="1" applyBorder="1" applyAlignment="1">
      <alignment horizontal="center" vertical="center"/>
    </xf>
    <xf numFmtId="0" fontId="28" fillId="0" borderId="4" xfId="0" applyFont="1" applyBorder="1" applyAlignment="1">
      <alignment horizontal="center" vertical="center"/>
    </xf>
    <xf numFmtId="2" fontId="10" fillId="14" borderId="4" xfId="0" applyNumberFormat="1" applyFont="1" applyFill="1" applyBorder="1"/>
    <xf numFmtId="9" fontId="10" fillId="15" borderId="4" xfId="7" applyFont="1" applyFill="1" applyBorder="1"/>
    <xf numFmtId="168" fontId="34" fillId="17" borderId="25" xfId="7" applyNumberFormat="1" applyFont="1" applyFill="1" applyBorder="1" applyAlignment="1">
      <alignment horizontal="center" vertical="top" wrapText="1"/>
    </xf>
    <xf numFmtId="2" fontId="10" fillId="7" borderId="4" xfId="0" applyNumberFormat="1" applyFont="1" applyFill="1" applyBorder="1" applyAlignment="1">
      <alignment horizontal="center"/>
    </xf>
    <xf numFmtId="2" fontId="10" fillId="0" borderId="4" xfId="7" applyNumberFormat="1" applyFont="1" applyBorder="1"/>
    <xf numFmtId="4" fontId="10" fillId="0" borderId="4" xfId="0" applyNumberFormat="1" applyFont="1" applyBorder="1" applyAlignment="1">
      <alignment horizontal="center" vertical="center"/>
    </xf>
    <xf numFmtId="0" fontId="29" fillId="0" borderId="4" xfId="9" applyBorder="1"/>
    <xf numFmtId="9" fontId="28" fillId="10" borderId="16" xfId="0" applyNumberFormat="1" applyFont="1" applyFill="1" applyBorder="1" applyAlignment="1">
      <alignment horizontal="left" vertical="center"/>
    </xf>
    <xf numFmtId="0" fontId="10" fillId="0" borderId="0" xfId="0" quotePrefix="1" applyFont="1"/>
    <xf numFmtId="0" fontId="37" fillId="0" borderId="20" xfId="9" applyFont="1" applyBorder="1" applyAlignment="1">
      <alignment horizontal="left" vertical="center" wrapText="1"/>
    </xf>
    <xf numFmtId="0" fontId="28" fillId="2" borderId="0" xfId="0" applyFont="1" applyFill="1" applyAlignment="1">
      <alignment horizontal="left" vertical="center" wrapText="1"/>
    </xf>
    <xf numFmtId="9" fontId="28" fillId="10" borderId="17" xfId="0" applyNumberFormat="1" applyFont="1" applyFill="1" applyBorder="1" applyAlignment="1">
      <alignment horizontal="left" vertical="center"/>
    </xf>
    <xf numFmtId="0" fontId="28" fillId="2" borderId="19" xfId="0" applyFont="1" applyFill="1" applyBorder="1" applyAlignment="1">
      <alignment horizontal="left" vertical="center"/>
    </xf>
    <xf numFmtId="0" fontId="37" fillId="0" borderId="4" xfId="9" applyFont="1" applyBorder="1"/>
    <xf numFmtId="170" fontId="38" fillId="0" borderId="0" xfId="0" applyNumberFormat="1" applyFont="1" applyAlignment="1">
      <alignment horizontal="left"/>
    </xf>
    <xf numFmtId="0" fontId="13" fillId="0" borderId="0" xfId="0" applyFont="1" applyAlignment="1">
      <alignment horizontal="left" wrapText="1"/>
    </xf>
    <xf numFmtId="0" fontId="25" fillId="8" borderId="0" xfId="0" applyFont="1" applyFill="1" applyAlignment="1">
      <alignment horizontal="left" vertical="top" wrapText="1"/>
    </xf>
    <xf numFmtId="0" fontId="21" fillId="0" borderId="0" xfId="0" applyFont="1" applyAlignment="1">
      <alignment horizontal="left" wrapText="1"/>
    </xf>
    <xf numFmtId="0" fontId="10" fillId="0" borderId="4" xfId="0" applyFont="1" applyBorder="1" applyAlignment="1">
      <alignment horizontal="left" wrapText="1"/>
    </xf>
    <xf numFmtId="0" fontId="10" fillId="0" borderId="9" xfId="0" applyFont="1" applyBorder="1" applyAlignment="1">
      <alignment horizontal="left" wrapText="1"/>
    </xf>
    <xf numFmtId="0" fontId="10" fillId="0" borderId="10" xfId="0" applyFont="1" applyBorder="1" applyAlignment="1">
      <alignment horizontal="left" wrapText="1"/>
    </xf>
    <xf numFmtId="0" fontId="11" fillId="4" borderId="9"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21" xfId="0" applyFont="1" applyFill="1" applyBorder="1" applyAlignment="1">
      <alignment horizontal="center" vertical="center" wrapText="1"/>
    </xf>
    <xf numFmtId="0" fontId="11" fillId="4" borderId="4" xfId="0" applyFont="1" applyFill="1" applyBorder="1" applyAlignment="1">
      <alignment horizont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5" xfId="0" applyFont="1" applyBorder="1" applyAlignment="1">
      <alignment horizontal="center" vertical="center"/>
    </xf>
    <xf numFmtId="0" fontId="34" fillId="17" borderId="24" xfId="0" applyFont="1" applyFill="1" applyBorder="1" applyAlignment="1">
      <alignment horizontal="left" vertical="top" wrapText="1"/>
    </xf>
    <xf numFmtId="0" fontId="34" fillId="17" borderId="25" xfId="0" applyFont="1" applyFill="1" applyBorder="1" applyAlignment="1">
      <alignment horizontal="left" vertical="top" wrapText="1"/>
    </xf>
    <xf numFmtId="0" fontId="34" fillId="17" borderId="29" xfId="0" applyFont="1" applyFill="1" applyBorder="1" applyAlignment="1">
      <alignment horizontal="left" vertical="top" wrapText="1"/>
    </xf>
    <xf numFmtId="0" fontId="34" fillId="17" borderId="31" xfId="0" applyFont="1" applyFill="1" applyBorder="1" applyAlignment="1">
      <alignment horizontal="left" vertical="top" wrapText="1"/>
    </xf>
  </cellXfs>
  <cellStyles count="11">
    <cellStyle name="Comma 2" xfId="8" xr:uid="{B2E1072E-885D-4B56-9BA5-C32463F2DFA0}"/>
    <cellStyle name="Comma 2 2" xfId="10" xr:uid="{8B6D76FB-B789-4586-B4A8-B39B43BDF09C}"/>
    <cellStyle name="Heading 1" xfId="1" builtinId="16" customBuiltin="1"/>
    <cellStyle name="Heading 2" xfId="2" builtinId="17" customBuiltin="1"/>
    <cellStyle name="Heading 3" xfId="3" builtinId="18" customBuiltin="1"/>
    <cellStyle name="Heading 4" xfId="4" builtinId="19" customBuiltin="1"/>
    <cellStyle name="Hyperlink" xfId="9" builtinId="8"/>
    <cellStyle name="Normal" xfId="0" builtinId="0"/>
    <cellStyle name="Normal 3" xfId="6" xr:uid="{8EE07C36-4B24-4CA3-AB33-AC611A43C6B7}"/>
    <cellStyle name="Percent" xfId="7" builtinId="5"/>
    <cellStyle name="Total" xfId="5" builtinId="25" customBuiltin="1"/>
  </cellStyles>
  <dxfs count="15">
    <dxf>
      <fill>
        <patternFill>
          <bgColor rgb="FFFFFF00"/>
        </patternFill>
      </fill>
    </dxf>
    <dxf>
      <fill>
        <patternFill>
          <bgColor rgb="FFFFC000"/>
        </patternFill>
      </fill>
    </dxf>
    <dxf>
      <fill>
        <patternFill>
          <bgColor rgb="FFFF0000"/>
        </patternFill>
      </fill>
    </dxf>
    <dxf>
      <fill>
        <patternFill>
          <bgColor theme="5"/>
        </patternFill>
      </fill>
    </dxf>
    <dxf>
      <fill>
        <patternFill>
          <bgColor theme="5"/>
        </patternFill>
      </fill>
    </dxf>
    <dxf>
      <fill>
        <patternFill>
          <bgColor rgb="FFFFFF00"/>
        </patternFill>
      </fill>
    </dxf>
    <dxf>
      <fill>
        <patternFill>
          <bgColor rgb="FFFFC000"/>
        </patternFill>
      </fill>
    </dxf>
    <dxf>
      <fill>
        <patternFill>
          <bgColor rgb="FFFF0000"/>
        </patternFill>
      </fill>
    </dxf>
    <dxf>
      <font>
        <b val="0"/>
        <i val="0"/>
        <strike val="0"/>
        <condense val="0"/>
        <extend val="0"/>
        <outline val="0"/>
        <shadow val="0"/>
        <u val="none"/>
        <vertAlign val="baseline"/>
        <sz val="11"/>
        <color theme="1"/>
        <name val="Lora"/>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Lora"/>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Lora"/>
        <scheme val="none"/>
      </font>
      <numFmt numFmtId="1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Lora"/>
        <scheme val="none"/>
      </font>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1"/>
        <color theme="1"/>
        <name val="Lora"/>
        <scheme val="none"/>
      </font>
    </dxf>
    <dxf>
      <font>
        <b/>
        <i val="0"/>
        <strike val="0"/>
        <condense val="0"/>
        <extend val="0"/>
        <outline val="0"/>
        <shadow val="0"/>
        <u val="none"/>
        <vertAlign val="baseline"/>
        <sz val="11"/>
        <color theme="0"/>
        <name val="Lora"/>
        <scheme val="none"/>
      </font>
      <fill>
        <patternFill patternType="solid">
          <fgColor indexed="64"/>
          <bgColor theme="1"/>
        </patternFill>
      </fill>
      <alignment horizontal="left" vertical="bottom" textRotation="0" wrapText="0" indent="0" justifyLastLine="0" shrinkToFit="0" readingOrder="0"/>
    </dxf>
  </dxfs>
  <tableStyles count="0" defaultTableStyle="TableStyleMedium2" defaultPivotStyle="PivotStyleLight16"/>
  <colors>
    <mruColors>
      <color rgb="FFCED3CE"/>
      <color rgb="FF366340"/>
      <color rgb="FF003F79"/>
      <color rgb="FFCCFFE1"/>
      <color rgb="FFD1D9FC"/>
      <color rgb="FFF5F17F"/>
      <color rgb="FF183C73"/>
      <color rgb="FFFFFFE1"/>
      <color rgb="FFFFFFCC"/>
      <color rgb="FFA6D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56073714009314E-2"/>
          <c:y val="7.5154030765350224E-2"/>
          <c:w val="0.91238848932272876"/>
          <c:h val="0.89893615837441443"/>
        </c:manualLayout>
      </c:layout>
      <c:barChart>
        <c:barDir val="col"/>
        <c:grouping val="clustered"/>
        <c:varyColors val="0"/>
        <c:ser>
          <c:idx val="0"/>
          <c:order val="0"/>
          <c:spPr>
            <a:solidFill>
              <a:schemeClr val="accent2"/>
            </a:solidFill>
            <a:ln>
              <a:noFill/>
            </a:ln>
            <a:effectLst/>
          </c:spPr>
          <c:invertIfNegative val="0"/>
          <c:errBars>
            <c:errBarType val="both"/>
            <c:errValType val="cust"/>
            <c:noEndCap val="0"/>
            <c:plus>
              <c:numRef>
                <c:f>'Uncertainty Analysis'!$F$11</c:f>
                <c:numCache>
                  <c:formatCode>0.00</c:formatCode>
                  <c:ptCount val="1"/>
                  <c:pt idx="0">
                    <c:v>-39.297361569164792</c:v>
                  </c:pt>
                </c:numCache>
              </c:numRef>
            </c:plus>
            <c:minus>
              <c:numRef>
                <c:f>'Uncertainty Analysis'!$H$11</c:f>
                <c:numCache>
                  <c:formatCode>\+0.00;\-0.00</c:formatCode>
                  <c:ptCount val="1"/>
                  <c:pt idx="0">
                    <c:v>-25.735000262509693</c:v>
                  </c:pt>
                </c:numCache>
              </c:numRef>
            </c:minus>
            <c:spPr>
              <a:noFill/>
              <a:ln w="25400" cap="flat" cmpd="sng" algn="ctr">
                <a:solidFill>
                  <a:schemeClr val="tx1">
                    <a:lumMod val="65000"/>
                    <a:lumOff val="35000"/>
                  </a:schemeClr>
                </a:solidFill>
                <a:round/>
              </a:ln>
              <a:effectLst/>
            </c:spPr>
          </c:errBars>
          <c:cat>
            <c:strRef>
              <c:f>'Uncertainty Analysis'!$C$10</c:f>
              <c:strCache>
                <c:ptCount val="1"/>
                <c:pt idx="0">
                  <c:v>Total carbon savings enabled (tCO2e)</c:v>
                </c:pt>
              </c:strCache>
            </c:strRef>
          </c:cat>
          <c:val>
            <c:numRef>
              <c:f>'Uncertainty Analysis'!$E$10</c:f>
              <c:numCache>
                <c:formatCode>0.00</c:formatCode>
                <c:ptCount val="1"/>
                <c:pt idx="0">
                  <c:v>-80.715221186269218</c:v>
                </c:pt>
              </c:numCache>
            </c:numRef>
          </c:val>
          <c:extLst>
            <c:ext xmlns:c16="http://schemas.microsoft.com/office/drawing/2014/chart" uri="{C3380CC4-5D6E-409C-BE32-E72D297353CC}">
              <c16:uniqueId val="{00000000-C6DF-484F-AB56-90768B1AC2CD}"/>
            </c:ext>
          </c:extLst>
        </c:ser>
        <c:dLbls>
          <c:showLegendKey val="0"/>
          <c:showVal val="0"/>
          <c:showCatName val="0"/>
          <c:showSerName val="0"/>
          <c:showPercent val="0"/>
          <c:showBubbleSize val="0"/>
        </c:dLbls>
        <c:gapWidth val="219"/>
        <c:overlap val="-27"/>
        <c:axId val="390231359"/>
        <c:axId val="653839327"/>
      </c:barChart>
      <c:catAx>
        <c:axId val="390231359"/>
        <c:scaling>
          <c:orientation val="minMax"/>
        </c:scaling>
        <c:delete val="0"/>
        <c:axPos val="b"/>
        <c:numFmt formatCode="General" sourceLinked="1"/>
        <c:majorTickMark val="none"/>
        <c:minorTickMark val="none"/>
        <c:tickLblPos val="high"/>
        <c:spPr>
          <a:noFill/>
          <a:ln w="22225" cap="flat" cmpd="sng" algn="ctr">
            <a:solidFill>
              <a:schemeClr val="bg1">
                <a:lumMod val="6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Lora" pitchFamily="2" charset="0"/>
                <a:ea typeface="+mn-ea"/>
                <a:cs typeface="+mn-cs"/>
              </a:defRPr>
            </a:pPr>
            <a:endParaRPr lang="en-US"/>
          </a:p>
        </c:txPr>
        <c:crossAx val="653839327"/>
        <c:crosses val="autoZero"/>
        <c:auto val="1"/>
        <c:lblAlgn val="ctr"/>
        <c:lblOffset val="100"/>
        <c:noMultiLvlLbl val="0"/>
      </c:catAx>
      <c:valAx>
        <c:axId val="6538393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3902313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59136428171199E-2"/>
          <c:y val="0.15363752834258115"/>
          <c:w val="0.88411336223421511"/>
          <c:h val="0.80612407137721898"/>
        </c:manualLayout>
      </c:layout>
      <c:barChart>
        <c:barDir val="col"/>
        <c:grouping val="clustered"/>
        <c:varyColors val="0"/>
        <c:ser>
          <c:idx val="0"/>
          <c:order val="0"/>
          <c:spPr>
            <a:solidFill>
              <a:schemeClr val="accent2"/>
            </a:solidFill>
            <a:ln>
              <a:noFill/>
            </a:ln>
            <a:effectLst/>
          </c:spPr>
          <c:invertIfNegative val="0"/>
          <c:errBars>
            <c:errBarType val="both"/>
            <c:errValType val="cust"/>
            <c:noEndCap val="0"/>
            <c:plus>
              <c:numRef>
                <c:f>'Uncertainty Analysis'!$F$11</c:f>
                <c:numCache>
                  <c:formatCode>0.00</c:formatCode>
                  <c:ptCount val="1"/>
                  <c:pt idx="0">
                    <c:v>-39.297361569164792</c:v>
                  </c:pt>
                </c:numCache>
              </c:numRef>
            </c:plus>
            <c:minus>
              <c:numRef>
                <c:f>'Uncertainty Analysis'!$H$11</c:f>
                <c:numCache>
                  <c:formatCode>\+0.00;\-0.00</c:formatCode>
                  <c:ptCount val="1"/>
                  <c:pt idx="0">
                    <c:v>-25.735000262509693</c:v>
                  </c:pt>
                </c:numCache>
              </c:numRef>
            </c:minus>
            <c:spPr>
              <a:noFill/>
              <a:ln w="25400" cap="flat" cmpd="sng" algn="ctr">
                <a:solidFill>
                  <a:schemeClr val="tx1">
                    <a:lumMod val="65000"/>
                    <a:lumOff val="35000"/>
                  </a:schemeClr>
                </a:solidFill>
                <a:round/>
              </a:ln>
              <a:effectLst/>
            </c:spPr>
          </c:errBars>
          <c:cat>
            <c:strRef>
              <c:f>'Uncertainty Analysis'!$C$10</c:f>
              <c:strCache>
                <c:ptCount val="1"/>
                <c:pt idx="0">
                  <c:v>Total carbon savings enabled (tCO2e)</c:v>
                </c:pt>
              </c:strCache>
            </c:strRef>
          </c:cat>
          <c:val>
            <c:numRef>
              <c:f>'Uncertainty Analysis'!$E$10</c:f>
              <c:numCache>
                <c:formatCode>0.00</c:formatCode>
                <c:ptCount val="1"/>
                <c:pt idx="0">
                  <c:v>-80.715221186269218</c:v>
                </c:pt>
              </c:numCache>
            </c:numRef>
          </c:val>
          <c:extLst>
            <c:ext xmlns:c16="http://schemas.microsoft.com/office/drawing/2014/chart" uri="{C3380CC4-5D6E-409C-BE32-E72D297353CC}">
              <c16:uniqueId val="{00000000-1A2F-404F-8940-EAE4D00725BB}"/>
            </c:ext>
          </c:extLst>
        </c:ser>
        <c:dLbls>
          <c:showLegendKey val="0"/>
          <c:showVal val="0"/>
          <c:showCatName val="0"/>
          <c:showSerName val="0"/>
          <c:showPercent val="0"/>
          <c:showBubbleSize val="0"/>
        </c:dLbls>
        <c:gapWidth val="219"/>
        <c:overlap val="-27"/>
        <c:axId val="390231359"/>
        <c:axId val="653839327"/>
      </c:barChart>
      <c:catAx>
        <c:axId val="390231359"/>
        <c:scaling>
          <c:orientation val="minMax"/>
        </c:scaling>
        <c:delete val="0"/>
        <c:axPos val="b"/>
        <c:numFmt formatCode="General" sourceLinked="1"/>
        <c:majorTickMark val="out"/>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Lora" pitchFamily="2" charset="0"/>
                <a:ea typeface="+mn-ea"/>
                <a:cs typeface="+mn-cs"/>
              </a:defRPr>
            </a:pPr>
            <a:endParaRPr lang="en-US"/>
          </a:p>
        </c:txPr>
        <c:crossAx val="653839327"/>
        <c:crosses val="autoZero"/>
        <c:auto val="1"/>
        <c:lblAlgn val="ctr"/>
        <c:lblOffset val="100"/>
        <c:noMultiLvlLbl val="0"/>
      </c:catAx>
      <c:valAx>
        <c:axId val="6538393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3902313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183C73"/>
            </a:solidFill>
            <a:ln>
              <a:noFill/>
            </a:ln>
            <a:effectLst/>
          </c:spPr>
          <c:invertIfNegative val="0"/>
          <c:cat>
            <c:strRef>
              <c:f>'Sensitivity Analysis'!$N$6:$N$15</c:f>
              <c:strCache>
                <c:ptCount val="10"/>
                <c:pt idx="0">
                  <c:v>Embodied emissions of heata units + components activity data +5%/-5%</c:v>
                </c:pt>
                <c:pt idx="1">
                  <c:v>Use-phase emissions of components activity data +5%/-5%</c:v>
                </c:pt>
                <c:pt idx="2">
                  <c:v>End of life emissions of heata unit +components activity data +5%/-5%</c:v>
                </c:pt>
                <c:pt idx="3">
                  <c:v>Avoided home hot water heating gas consumption activity data +5%/-5%</c:v>
                </c:pt>
                <c:pt idx="4">
                  <c:v>Data centre cooling electricity consumption activity data +5%/-5%</c:v>
                </c:pt>
                <c:pt idx="5">
                  <c:v>Embodied emissions of heata units + components emission factor +5%/-5%</c:v>
                </c:pt>
                <c:pt idx="6">
                  <c:v>Use-phase emissions of components emission factor +5%/-5%</c:v>
                </c:pt>
                <c:pt idx="7">
                  <c:v>End of life emissions of heata unit +components emission factor +5%/-5%</c:v>
                </c:pt>
                <c:pt idx="8">
                  <c:v>Avoided home hot water heating gas consumption emission factor +5%/-5%</c:v>
                </c:pt>
                <c:pt idx="9">
                  <c:v>Data centre cooling electricity consumption emission factor +5%/-5%</c:v>
                </c:pt>
              </c:strCache>
            </c:strRef>
          </c:cat>
          <c:val>
            <c:numRef>
              <c:f>'Sensitivity Analysis'!$L$6:$L$15</c:f>
              <c:numCache>
                <c:formatCode>0.00%</c:formatCode>
                <c:ptCount val="10"/>
                <c:pt idx="0">
                  <c:v>3.0504824593899915E-3</c:v>
                </c:pt>
                <c:pt idx="1">
                  <c:v>4.3103718968917626E-4</c:v>
                </c:pt>
                <c:pt idx="2">
                  <c:v>1.7614044127700623E-6</c:v>
                </c:pt>
                <c:pt idx="3">
                  <c:v>-3.1111399598409029E-2</c:v>
                </c:pt>
                <c:pt idx="4">
                  <c:v>-2.2371881455082732E-2</c:v>
                </c:pt>
                <c:pt idx="5">
                  <c:v>3.0504824593899915E-3</c:v>
                </c:pt>
                <c:pt idx="6">
                  <c:v>4.3103718968917626E-4</c:v>
                </c:pt>
                <c:pt idx="7">
                  <c:v>1.7614044127700623E-6</c:v>
                </c:pt>
                <c:pt idx="8">
                  <c:v>-3.1111399598409029E-2</c:v>
                </c:pt>
                <c:pt idx="9">
                  <c:v>-2.2371881455082732E-2</c:v>
                </c:pt>
              </c:numCache>
            </c:numRef>
          </c:val>
          <c:extLst>
            <c:ext xmlns:c16="http://schemas.microsoft.com/office/drawing/2014/chart" uri="{C3380CC4-5D6E-409C-BE32-E72D297353CC}">
              <c16:uniqueId val="{00000000-BF8A-4264-860E-63D8CABFC2A5}"/>
            </c:ext>
          </c:extLst>
        </c:ser>
        <c:ser>
          <c:idx val="1"/>
          <c:order val="1"/>
          <c:spPr>
            <a:solidFill>
              <a:srgbClr val="A6D9F7"/>
            </a:solidFill>
            <a:ln>
              <a:noFill/>
            </a:ln>
            <a:effectLst/>
          </c:spPr>
          <c:invertIfNegative val="0"/>
          <c:cat>
            <c:strRef>
              <c:f>'Sensitivity Analysis'!$N$6:$N$15</c:f>
              <c:strCache>
                <c:ptCount val="10"/>
                <c:pt idx="0">
                  <c:v>Embodied emissions of heata units + components activity data +5%/-5%</c:v>
                </c:pt>
                <c:pt idx="1">
                  <c:v>Use-phase emissions of components activity data +5%/-5%</c:v>
                </c:pt>
                <c:pt idx="2">
                  <c:v>End of life emissions of heata unit +components activity data +5%/-5%</c:v>
                </c:pt>
                <c:pt idx="3">
                  <c:v>Avoided home hot water heating gas consumption activity data +5%/-5%</c:v>
                </c:pt>
                <c:pt idx="4">
                  <c:v>Data centre cooling electricity consumption activity data +5%/-5%</c:v>
                </c:pt>
                <c:pt idx="5">
                  <c:v>Embodied emissions of heata units + components emission factor +5%/-5%</c:v>
                </c:pt>
                <c:pt idx="6">
                  <c:v>Use-phase emissions of components emission factor +5%/-5%</c:v>
                </c:pt>
                <c:pt idx="7">
                  <c:v>End of life emissions of heata unit +components emission factor +5%/-5%</c:v>
                </c:pt>
                <c:pt idx="8">
                  <c:v>Avoided home hot water heating gas consumption emission factor +5%/-5%</c:v>
                </c:pt>
                <c:pt idx="9">
                  <c:v>Data centre cooling electricity consumption emission factor +5%/-5%</c:v>
                </c:pt>
              </c:strCache>
            </c:strRef>
          </c:cat>
          <c:val>
            <c:numRef>
              <c:f>'Sensitivity Analysis'!$M$6:$M$15</c:f>
              <c:numCache>
                <c:formatCode>0.00%</c:formatCode>
                <c:ptCount val="10"/>
                <c:pt idx="0">
                  <c:v>-3.0504824593899915E-3</c:v>
                </c:pt>
                <c:pt idx="1">
                  <c:v>-4.3103718968917626E-4</c:v>
                </c:pt>
                <c:pt idx="2">
                  <c:v>-1.7614044127700623E-6</c:v>
                </c:pt>
                <c:pt idx="3">
                  <c:v>3.111139959840914E-2</c:v>
                </c:pt>
                <c:pt idx="4">
                  <c:v>2.2371881455082621E-2</c:v>
                </c:pt>
                <c:pt idx="5">
                  <c:v>-3.0504824593899915E-3</c:v>
                </c:pt>
                <c:pt idx="6">
                  <c:v>-4.3103718968917626E-4</c:v>
                </c:pt>
                <c:pt idx="7">
                  <c:v>-1.7614044127700623E-6</c:v>
                </c:pt>
                <c:pt idx="8">
                  <c:v>3.111139959840914E-2</c:v>
                </c:pt>
                <c:pt idx="9">
                  <c:v>2.2371881455082621E-2</c:v>
                </c:pt>
              </c:numCache>
            </c:numRef>
          </c:val>
          <c:extLst>
            <c:ext xmlns:c16="http://schemas.microsoft.com/office/drawing/2014/chart" uri="{C3380CC4-5D6E-409C-BE32-E72D297353CC}">
              <c16:uniqueId val="{00000001-BF8A-4264-860E-63D8CABFC2A5}"/>
            </c:ext>
          </c:extLst>
        </c:ser>
        <c:dLbls>
          <c:showLegendKey val="0"/>
          <c:showVal val="0"/>
          <c:showCatName val="0"/>
          <c:showSerName val="0"/>
          <c:showPercent val="0"/>
          <c:showBubbleSize val="0"/>
        </c:dLbls>
        <c:gapWidth val="182"/>
        <c:axId val="850914463"/>
        <c:axId val="618690351"/>
      </c:barChart>
      <c:catAx>
        <c:axId val="850914463"/>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618690351"/>
        <c:crosses val="autoZero"/>
        <c:auto val="1"/>
        <c:lblAlgn val="ctr"/>
        <c:lblOffset val="100"/>
        <c:noMultiLvlLbl val="0"/>
      </c:catAx>
      <c:valAx>
        <c:axId val="618690351"/>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Lora" pitchFamily="2" charset="0"/>
                    <a:ea typeface="+mn-ea"/>
                    <a:cs typeface="+mn-cs"/>
                  </a:defRPr>
                </a:pPr>
                <a:r>
                  <a:rPr lang="en-GB">
                    <a:latin typeface="Lora" pitchFamily="2" charset="0"/>
                  </a:rPr>
                  <a:t>Percentage variation in net carbon impact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Lora" pitchFamily="2"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8509144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40019</xdr:colOff>
      <xdr:row>37</xdr:row>
      <xdr:rowOff>112761</xdr:rowOff>
    </xdr:from>
    <xdr:to>
      <xdr:col>2</xdr:col>
      <xdr:colOff>1591235</xdr:colOff>
      <xdr:row>52</xdr:row>
      <xdr:rowOff>44825</xdr:rowOff>
    </xdr:to>
    <xdr:graphicFrame macro="">
      <xdr:nvGraphicFramePr>
        <xdr:cNvPr id="6" name="Chart 1">
          <a:extLst>
            <a:ext uri="{FF2B5EF4-FFF2-40B4-BE49-F238E27FC236}">
              <a16:creationId xmlns:a16="http://schemas.microsoft.com/office/drawing/2014/main" id="{7E3F9B61-D8CB-4916-A022-1DD8396896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171348</xdr:colOff>
      <xdr:row>0</xdr:row>
      <xdr:rowOff>194385</xdr:rowOff>
    </xdr:from>
    <xdr:to>
      <xdr:col>12</xdr:col>
      <xdr:colOff>748926</xdr:colOff>
      <xdr:row>12</xdr:row>
      <xdr:rowOff>214781</xdr:rowOff>
    </xdr:to>
    <xdr:graphicFrame macro="">
      <xdr:nvGraphicFramePr>
        <xdr:cNvPr id="2" name="Chart 1">
          <a:extLst>
            <a:ext uri="{FF2B5EF4-FFF2-40B4-BE49-F238E27FC236}">
              <a16:creationId xmlns:a16="http://schemas.microsoft.com/office/drawing/2014/main" id="{0138A63D-1142-45F7-A741-1C0D4228B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624840</xdr:colOff>
      <xdr:row>15</xdr:row>
      <xdr:rowOff>95250</xdr:rowOff>
    </xdr:from>
    <xdr:to>
      <xdr:col>6</xdr:col>
      <xdr:colOff>895350</xdr:colOff>
      <xdr:row>38</xdr:row>
      <xdr:rowOff>7620</xdr:rowOff>
    </xdr:to>
    <xdr:graphicFrame macro="">
      <xdr:nvGraphicFramePr>
        <xdr:cNvPr id="2" name="Chart 1">
          <a:extLst>
            <a:ext uri="{FF2B5EF4-FFF2-40B4-BE49-F238E27FC236}">
              <a16:creationId xmlns:a16="http://schemas.microsoft.com/office/drawing/2014/main" id="{FE915D73-5D5E-4353-8C83-557BBF92A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972774-42FD-4D4D-8041-B6E72A0F660C}" name="EF" displayName="EF" ref="B21:E32" totalsRowShown="0" headerRowDxfId="14" dataDxfId="13" tableBorderDxfId="12">
  <autoFilter ref="B21:E32" xr:uid="{3C972774-42FD-4D4D-8041-B6E72A0F660C}"/>
  <tableColumns count="4">
    <tableColumn id="1" xr3:uid="{EB1ED778-0245-4EB2-A97F-FD8F17D521AB}" name="Emission Factors" dataDxfId="11"/>
    <tableColumn id="2" xr3:uid="{34817C57-6AB4-4581-866B-2F9F8365BF01}" name="Explanation/Notes" dataDxfId="10"/>
    <tableColumn id="3" xr3:uid="{4B09D11A-9ED9-44F6-BF3A-72CF0BBFC6BD}" name="Unit" dataDxfId="9"/>
    <tableColumn id="4" xr3:uid="{CBB20865-EF57-4D01-AF3D-86D9C941FC60}" name="Value" dataDxfId="8"/>
  </tableColumns>
  <tableStyleInfo showFirstColumn="0" showLastColumn="0" showRowStripes="1" showColumnStripes="0"/>
</table>
</file>

<file path=xl/theme/theme1.xml><?xml version="1.0" encoding="utf-8"?>
<a:theme xmlns:a="http://schemas.openxmlformats.org/drawingml/2006/main" name="Office Theme">
  <a:themeElements>
    <a:clrScheme name="Carbon Trust 1">
      <a:dk1>
        <a:srgbClr val="000000"/>
      </a:dk1>
      <a:lt1>
        <a:srgbClr val="FFFFFF"/>
      </a:lt1>
      <a:dk2>
        <a:srgbClr val="1D192B"/>
      </a:dk2>
      <a:lt2>
        <a:srgbClr val="00A7FF"/>
      </a:lt2>
      <a:accent1>
        <a:srgbClr val="2147ED"/>
      </a:accent1>
      <a:accent2>
        <a:srgbClr val="00FF6C"/>
      </a:accent2>
      <a:accent3>
        <a:srgbClr val="C724B1"/>
      </a:accent3>
      <a:accent4>
        <a:srgbClr val="00007F"/>
      </a:accent4>
      <a:accent5>
        <a:srgbClr val="D6D6D4"/>
      </a:accent5>
      <a:accent6>
        <a:srgbClr val="71FFFF"/>
      </a:accent6>
      <a:hlink>
        <a:srgbClr val="00007F"/>
      </a:hlink>
      <a:folHlink>
        <a:srgbClr val="A7B8F5"/>
      </a:folHlink>
    </a:clrScheme>
    <a:fontScheme name="Carbon Trust 1">
      <a:majorFont>
        <a:latin typeface="Arial"/>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hyperlink" Target="https://joint-research-centre.ec.europa.eu/jrc-news-and-updates/eu-code-conduct-data-centres-towards-more-innovative-sustainable-and-secure-data-centre-facilities-2023-09-05_en" TargetMode="External"/><Relationship Id="rId1" Type="http://schemas.openxmlformats.org/officeDocument/2006/relationships/hyperlink" Target="https://datacenter.uptimeinstitute.com/rs/711-RIA-145/images/2024.GlobalDataCenterSurvey.Report.pdf?version=0"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6" Type="http://schemas.openxmlformats.org/officeDocument/2006/relationships/hyperlink" Target="https://www.accu.co.uk/phillips-pan-head-screws/65408-SIP-M3-6-A2" TargetMode="External"/><Relationship Id="rId21" Type="http://schemas.openxmlformats.org/officeDocument/2006/relationships/hyperlink" Target="https://www.amazon.co.uk/gp/product/B00NEMG62M/" TargetMode="External"/><Relationship Id="rId42" Type="http://schemas.openxmlformats.org/officeDocument/2006/relationships/hyperlink" Target="https://www.cef.co.uk/catalogue/products/4575507-5-module-metalclad-ip20-enclosure" TargetMode="External"/><Relationship Id="rId47" Type="http://schemas.openxmlformats.org/officeDocument/2006/relationships/hyperlink" Target="https://www.accu.co.uk/socket-button-screws/8130-SSB-M4-12-A2" TargetMode="External"/><Relationship Id="rId63" Type="http://schemas.openxmlformats.org/officeDocument/2006/relationships/hyperlink" Target="https://www.amazon.co.uk/gp/product/B00CE96EU0/" TargetMode="External"/><Relationship Id="rId68" Type="http://schemas.openxmlformats.org/officeDocument/2006/relationships/hyperlink" Target="https://www.google.com/search?q=2+row+12P+0.1%22+crimp+housing%0D%0A+weight+in+kg&amp;sca_esv=7961302cda4152b2&amp;ei=tthwac6RB42ohbIP-YyNgAc&amp;ved=0ahUKEwjOxIO24pySAxUNVEEAHXlGA3AQ4dUDCBE&amp;uact=5&amp;oq=2+row+12P+0.1%22+crimp+housing%0D%0A+weight+in+kg&amp;gs_lp=Egxnd3Mtd2l6LXNlcnAiKjIgcm93IDEyUCAwLjEiIGNyaW1wIGhvdXNpbmcKIHdlaWdodCBpbiBrZzIIEAAY7wUYsAMyCBAAGO8FGLADMggQABjvBRiwAzIIEAAY7wUYsAMyCBAAGO8FGLADSJ6kAlDjoQJY46ECcAJ4AJABAJgBAKABAKoBALgBA8gBAPgBAvgBAZgCAqACBJgDAIgGAZAGBZIHATKgBwCyBwC4BwDCBwMwLjLIBwOACAE&amp;sclient=gws-wiz-serp" TargetMode="External"/><Relationship Id="rId2" Type="http://schemas.openxmlformats.org/officeDocument/2006/relationships/hyperlink" Target="https://www.techbuyer.com/uk/samsung-16gb-852264-001-2rx4-pc4-2400t-server-memory-852264-001-76031" TargetMode="External"/><Relationship Id="rId16" Type="http://schemas.openxmlformats.org/officeDocument/2006/relationships/hyperlink" Target="https://innov8wholesale.com/products/usb-3-0-type-a-male-to-female-90-degree-angled-extension-cable-15cm?_pos=1&amp;_sid=d95a3c858&amp;_ss=r&amp;variant=40909591871656" TargetMode="External"/><Relationship Id="rId29" Type="http://schemas.openxmlformats.org/officeDocument/2006/relationships/hyperlink" Target="https://uk.rs-online.com/web/p/cable-grommets/1366014/" TargetMode="External"/><Relationship Id="rId11" Type="http://schemas.openxmlformats.org/officeDocument/2006/relationships/hyperlink" Target="https://uk.rs-online.com/web/p/twisted-pair-multicore-data-cable/1871953/" TargetMode="External"/><Relationship Id="rId24" Type="http://schemas.openxmlformats.org/officeDocument/2006/relationships/hyperlink" Target="https://www.amazon.co.uk/gp/product/B0956JS3BD/" TargetMode="External"/><Relationship Id="rId32" Type="http://schemas.openxmlformats.org/officeDocument/2006/relationships/hyperlink" Target="https://www.hobbytronics.co.uk/crimp-conn-pins" TargetMode="External"/><Relationship Id="rId37" Type="http://schemas.openxmlformats.org/officeDocument/2006/relationships/hyperlink" Target="https://www.accu.co.uk/external-fine-tooth-locking-washers/495651-HLFW-M4-4-6-Z" TargetMode="External"/><Relationship Id="rId40" Type="http://schemas.openxmlformats.org/officeDocument/2006/relationships/hyperlink" Target="https://uk.rs-online.com/web/c/connectors/mains-dc-power-connectors/mains-plugs-sockets/?searchTerm=NAC3MPXX&amp;redirect-relevancy-data=7365617263685F636173636164655F6F726465723D31267365617263685F696E746572666163655F6E616D653D4931384E53656172636847656E65726963267365617263685F6C616E67756167655F757365643D656E267365617263685F6D617463685F6D6F64653D6D61746368616C6C7061727469616C267365617263685F7061747465726E5F6D6174636865643D5E5B5C707B4C7D5C707B4E647D2D2C2F255C2E5D2B24267365617263685F7061747465726E5F6F726465723D313333267365617263685F73745F6E6F726D616C697365643D59267365617263685F726573706F6E73655F616374696F6E3D43617465676F72795F5265646972656374267365617263685F747970653D4B4559574F52445F53494E474C455F414C5048415F4E554D45524943267365617263685F7370656C6C5F636F72726563745F6170706C6965643D59267365617263685F77696C645F63617264696E675F6D6F64653D4E4F4E45267365617263685F6B6579776F72643D4E4143334D505858267365617263685F6B6579776F72645F6170703D4E4143334D505858267365617263685F636F6E6669673D3026&amp;r=f&amp;searchHistory=%7B%22enabled%22:true%7D" TargetMode="External"/><Relationship Id="rId45" Type="http://schemas.openxmlformats.org/officeDocument/2006/relationships/hyperlink" Target="https://app.3dprint-uk.co.uk/portal/quote/c47290e52/" TargetMode="External"/><Relationship Id="rId53" Type="http://schemas.openxmlformats.org/officeDocument/2006/relationships/hyperlink" Target="https://www.amazon.co.uk/gp/product/B08RJHK31Y/ref=ppx_yo_dt_b_search_asin_title?ie=UTF8&amp;th=1" TargetMode="External"/><Relationship Id="rId58" Type="http://schemas.openxmlformats.org/officeDocument/2006/relationships/hyperlink" Target="https://www.amazon.co.uk/gp/product/B01G5Q9E0O/" TargetMode="External"/><Relationship Id="rId66" Type="http://schemas.openxmlformats.org/officeDocument/2006/relationships/hyperlink" Target="https://www.amazon.in/Thermostat-Degree10A-Various-Applications-Normally/dp/B0DBHYLGY2?s=bazaar" TargetMode="External"/><Relationship Id="rId5" Type="http://schemas.openxmlformats.org/officeDocument/2006/relationships/hyperlink" Target="https://www.amazon.co.uk/SUPER-MICRO-SP3-Supermicro-MBD-H12SSL-I-O/dp/B08NF54CG9" TargetMode="External"/><Relationship Id="rId61" Type="http://schemas.openxmlformats.org/officeDocument/2006/relationships/hyperlink" Target="https://www.screwfix.com/p/fischer-duopower-wall-plugs-6mm-x-30mm-100-pack/1030p" TargetMode="External"/><Relationship Id="rId19" Type="http://schemas.openxmlformats.org/officeDocument/2006/relationships/hyperlink" Target="https://uk.rs-online.com/web/p/metallic-tapes/1859047" TargetMode="External"/><Relationship Id="rId14" Type="http://schemas.openxmlformats.org/officeDocument/2006/relationships/hyperlink" Target="https://uk.rs-online.com/web/p/cable-ties/3592142/" TargetMode="External"/><Relationship Id="rId22" Type="http://schemas.openxmlformats.org/officeDocument/2006/relationships/hyperlink" Target="https://cpc.farnell.com/pro-signal/rb-415/sata-lp4-2x-sata-internal-power/dp/CS11885" TargetMode="External"/><Relationship Id="rId27" Type="http://schemas.openxmlformats.org/officeDocument/2006/relationships/hyperlink" Target="https://www.cef.co.uk/catalogue/products/23814-1-inch-38mm-pvc-open-grommets-black-sold-in-1-s" TargetMode="External"/><Relationship Id="rId30" Type="http://schemas.openxmlformats.org/officeDocument/2006/relationships/hyperlink" Target="https://uk.rs-online.com/web/p/leds/2545727" TargetMode="External"/><Relationship Id="rId35" Type="http://schemas.openxmlformats.org/officeDocument/2006/relationships/hyperlink" Target="https://www.fif.com.pl/en/io-extension-modules/579-relay-outputs-expansion-mr-ro-1.html" TargetMode="External"/><Relationship Id="rId43" Type="http://schemas.openxmlformats.org/officeDocument/2006/relationships/hyperlink" Target="https://www.electricalcounter.co.uk/products/Circuit+Protection/Europa+Circuit+Protection/Devices/MCBs/1+Pole+MCBs/Europa+EUB16C+6A+C+Curve+1+Pole+Miniature+Circuit+Breaker+MCB+6kA/3426658775" TargetMode="External"/><Relationship Id="rId48" Type="http://schemas.openxmlformats.org/officeDocument/2006/relationships/hyperlink" Target="https://microdream.co.uk/dell-optiplex-gx620-745-chassis-intrusion-switch-uc635.html" TargetMode="External"/><Relationship Id="rId56" Type="http://schemas.openxmlformats.org/officeDocument/2006/relationships/hyperlink" Target="https://www.amazon.co.uk/gp/product/B07PHT3LWC/" TargetMode="External"/><Relationship Id="rId64" Type="http://schemas.openxmlformats.org/officeDocument/2006/relationships/hyperlink" Target="https://uk.farnell.com/mg-chemicals/8329tff-25ml/thermally-conductive-adhesive/dp/2889773?st=8329tff" TargetMode="External"/><Relationship Id="rId69" Type="http://schemas.openxmlformats.org/officeDocument/2006/relationships/hyperlink" Target="https://www.google.com/search?q=2+row+12P+0.1%22+crimp+housing%0D%0A+weight+in+kg&amp;sca_esv=7961302cda4152b2&amp;ei=tthwac6RB42ohbIP-YyNgAc&amp;ved=0ahUKEwjOxIO24pySAxUNVEEAHXlGA3AQ4dUDCBE&amp;uact=5&amp;oq=2+row+12P+0.1%22+crimp+housing%0D%0A+weight+in+kg&amp;gs_lp=Egxnd3Mtd2l6LXNlcnAiKjIgcm93IDEyUCAwLjEiIGNyaW1wIGhvdXNpbmcKIHdlaWdodCBpbiBrZzIIEAAY7wUYsAMyCBAAGO8FGLADMggQABjvBRiwAzIIEAAY7wUYsAMyCBAAGO8FGLADSJ6kAlDjoQJY46ECcAJ4AJABAJgBAKABAKoBALgBA8gBAPgBAvgBAZgCAqACBJgDAIgGAZAGBZIHATKgBwCyBwC4BwDCBwMwLjLIBwOACAE&amp;sclient=gws-wiz-serp" TargetMode="External"/><Relationship Id="rId8" Type="http://schemas.openxmlformats.org/officeDocument/2006/relationships/hyperlink" Target="https://www.meshdirect.co.uk/woven-stainless-wire-cloth-10-mesh-1.98-mm-aperture.html" TargetMode="External"/><Relationship Id="rId51" Type="http://schemas.openxmlformats.org/officeDocument/2006/relationships/hyperlink" Target="https://screwshop.co.uk/product/full-nuts-a2-stainless-steel/" TargetMode="External"/><Relationship Id="rId72" Type="http://schemas.openxmlformats.org/officeDocument/2006/relationships/hyperlink" Target="https://www.techly.com/24-pin-atx-motherboard-extension-cable.html" TargetMode="External"/><Relationship Id="rId3" Type="http://schemas.openxmlformats.org/officeDocument/2006/relationships/hyperlink" Target="https://www.dateks.lv/en/cenas/cietie-diski-ssd/157888-crucial-mx500-1tb" TargetMode="External"/><Relationship Id="rId12" Type="http://schemas.openxmlformats.org/officeDocument/2006/relationships/hyperlink" Target="https://uk.rs-online.com/web/p/cable-ties/1703873/" TargetMode="External"/><Relationship Id="rId17" Type="http://schemas.openxmlformats.org/officeDocument/2006/relationships/hyperlink" Target="https://uk.rs-online.com/web/p/products/7004545/" TargetMode="External"/><Relationship Id="rId25" Type="http://schemas.openxmlformats.org/officeDocument/2006/relationships/hyperlink" Target="https://cpc.farnell.com/pro-signal/psg91639/lead-rj12-plug-rj12-plug-black/dp/CS32921" TargetMode="External"/><Relationship Id="rId33" Type="http://schemas.openxmlformats.org/officeDocument/2006/relationships/hyperlink" Target="https://uk.rs-online.com/web/p/heat-shrink-tubing/8112669/" TargetMode="External"/><Relationship Id="rId38" Type="http://schemas.openxmlformats.org/officeDocument/2006/relationships/hyperlink" Target="https://www.accu.co.uk/metric-flat-washers/495907-HPW-M4-V3-4-6-Z" TargetMode="External"/><Relationship Id="rId46" Type="http://schemas.openxmlformats.org/officeDocument/2006/relationships/hyperlink" Target="https://uk.rs-online.com/web/p/cable-gland-locknuts/0127524/" TargetMode="External"/><Relationship Id="rId59" Type="http://schemas.openxmlformats.org/officeDocument/2006/relationships/hyperlink" Target="https://www.amazon.co.uk/gp/product/B08643424M/" TargetMode="External"/><Relationship Id="rId67" Type="http://schemas.openxmlformats.org/officeDocument/2006/relationships/hyperlink" Target="https://www.google.com/search?q=Low+profile+plug+CAT+cable+weight+in+kg&amp;sca_esv=7961302cda4152b2&amp;ei=oNdwaYePA4-7hbIPkeKh4Qo&amp;ved=0ahUKEwiH37ex4ZySAxWPXUEAHRFxKKwQ4dUDCBE&amp;uact=5&amp;oq=Low+profile+plug+CAT+cable+weight+in+kg&amp;gs_lp=Egxnd3Mtd2l6LXNlcnAiJ0xvdyBwcm9maWxlIHBsdWcgQ0FUIGNhYmxlIHdlaWdodCBpbiBrZzIFEAAY7wUyBRAAGO8FMgUQABjvBTIIEAAYgAQYogRIygdQAFgAcAB4AJABAJgBc6ABc6oBAzAuMbgBA8gBAPgBAvgBAZgCAaACeJgDAJIHAzAuMaAH3AKyBwMwLjG4B3jCBwMyLTHIBwOACAE&amp;sclient=gws-wiz-serp" TargetMode="External"/><Relationship Id="rId20" Type="http://schemas.openxmlformats.org/officeDocument/2006/relationships/hyperlink" Target="https://hilltop-products.co.uk/cable-management/tape/adhesive-lined-heat-shrink-tape/heat-shrink-hot-melt-tape-with-adhesive-inner-hdv-25-metre-rolls.html" TargetMode="External"/><Relationship Id="rId41" Type="http://schemas.openxmlformats.org/officeDocument/2006/relationships/hyperlink" Target="https://uk.rs-online.com/web/p/spade-connectors/0534418?gb=s" TargetMode="External"/><Relationship Id="rId54" Type="http://schemas.openxmlformats.org/officeDocument/2006/relationships/hyperlink" Target="https://uk.rs-online.com/web/p/p-clips/1877716/" TargetMode="External"/><Relationship Id="rId62" Type="http://schemas.openxmlformats.org/officeDocument/2006/relationships/hyperlink" Target="https://www.amazon.co.uk/Kurtzy-25-4mm-Brushes-Stains-Varnishes/dp/B00MB33YHU/" TargetMode="External"/><Relationship Id="rId70" Type="http://schemas.openxmlformats.org/officeDocument/2006/relationships/hyperlink" Target="https://www.amazon.co.uk/RS-485-WE-RS485-Serial-Converter-Adapter/dp/B087J3GYZC" TargetMode="External"/><Relationship Id="rId1" Type="http://schemas.openxmlformats.org/officeDocument/2006/relationships/hyperlink" Target="https://www.amazon.co.uk/Intel-Processor-E5-2680-2-40GHz-2-4GHz/dp/B01DTYPGBQ" TargetMode="External"/><Relationship Id="rId6" Type="http://schemas.openxmlformats.org/officeDocument/2006/relationships/hyperlink" Target="https://www.acrelenergy.com/products/adl200/" TargetMode="External"/><Relationship Id="rId15" Type="http://schemas.openxmlformats.org/officeDocument/2006/relationships/hyperlink" Target="https://www.amazon.co.uk/gp/product/B00L2O0I5K/" TargetMode="External"/><Relationship Id="rId23" Type="http://schemas.openxmlformats.org/officeDocument/2006/relationships/hyperlink" Target="https://www.accu.co.uk/cylindrical-spacers/504746-HPS-5-3-10-3-PA" TargetMode="External"/><Relationship Id="rId28" Type="http://schemas.openxmlformats.org/officeDocument/2006/relationships/hyperlink" Target="https://uk.rs-online.com/web/p/cable-grommets/2414580" TargetMode="External"/><Relationship Id="rId36" Type="http://schemas.openxmlformats.org/officeDocument/2006/relationships/hyperlink" Target="https://www.amazon.co.uk/gp/product/B0BL6SB7RQ/" TargetMode="External"/><Relationship Id="rId49" Type="http://schemas.openxmlformats.org/officeDocument/2006/relationships/hyperlink" Target="https://app.3dprint-uk.co.uk/portal/quote/c5001e138/" TargetMode="External"/><Relationship Id="rId57" Type="http://schemas.openxmlformats.org/officeDocument/2006/relationships/hyperlink" Target="https://uk.farnell.com/3m/7100104991/mixing-nozzle-adhesive-square/dp/3266931" TargetMode="External"/><Relationship Id="rId10" Type="http://schemas.openxmlformats.org/officeDocument/2006/relationships/hyperlink" Target="https://www.amazon.in/Thermostat-Degree10A-Various-Applications-Normally/dp/B0DBHYLGY2?s=bazaar" TargetMode="External"/><Relationship Id="rId31" Type="http://schemas.openxmlformats.org/officeDocument/2006/relationships/hyperlink" Target="https://uk.rs-online.com/web/p/led-holders/8415065/" TargetMode="External"/><Relationship Id="rId44" Type="http://schemas.openxmlformats.org/officeDocument/2006/relationships/hyperlink" Target="https://cpc.farnell.com/tuk/kck66/coupler-keystone-rj11-rj12-black/dp/CS27660" TargetMode="External"/><Relationship Id="rId52" Type="http://schemas.openxmlformats.org/officeDocument/2006/relationships/hyperlink" Target="https://www.accu.co.uk/dog-point-set-screws/5185-SSD-M5-30-A2D-M6-30-A2" TargetMode="External"/><Relationship Id="rId60" Type="http://schemas.openxmlformats.org/officeDocument/2006/relationships/hyperlink" Target="https://www.screwfix.com/p/easydrive-phillips-bugle-uncollated-drywall-screws-3-5-x-32mm-1000-pack/16374" TargetMode="External"/><Relationship Id="rId65" Type="http://schemas.openxmlformats.org/officeDocument/2006/relationships/hyperlink" Target="https://uk.farnell.com/mg-chemicals/8329tfs-25ml/adhesive-epoxy-dual-syringe-25ml/dp/2811930" TargetMode="External"/><Relationship Id="rId73" Type="http://schemas.openxmlformats.org/officeDocument/2006/relationships/hyperlink" Target="https://www.tp-link.com/uk/home-networking/powerline/tl-pa4010p-kit/" TargetMode="External"/><Relationship Id="rId4" Type="http://schemas.openxmlformats.org/officeDocument/2006/relationships/hyperlink" Target="https://www.amazon.co.uk/dp/B07DJM9QDX/ref=olp-opf-redir?aod=1&amp;qty=50&amp;th=1" TargetMode="External"/><Relationship Id="rId9" Type="http://schemas.openxmlformats.org/officeDocument/2006/relationships/hyperlink" Target="https://drive.google.com/file/d/1xzLRay3IB4rY3J8wpI0Eo32J6lMJKC5a/view?usp=sharing" TargetMode="External"/><Relationship Id="rId13" Type="http://schemas.openxmlformats.org/officeDocument/2006/relationships/hyperlink" Target="https://uk.rs-online.com/web/p/cable-ties/8103832/" TargetMode="External"/><Relationship Id="rId18" Type="http://schemas.openxmlformats.org/officeDocument/2006/relationships/hyperlink" Target="https://uk.rs-online.com/web/p/heat-sinks-and-heat-sink-fans/5040750" TargetMode="External"/><Relationship Id="rId39" Type="http://schemas.openxmlformats.org/officeDocument/2006/relationships/hyperlink" Target="https://drive.google.com/file/d/1G1KfFyDQjDRQblFAbEem42tV28NvJlFh/view?usp=sharing" TargetMode="External"/><Relationship Id="rId34" Type="http://schemas.openxmlformats.org/officeDocument/2006/relationships/hyperlink" Target="https://www.amazon.co.uk/gp/product/B07RW73CB7" TargetMode="External"/><Relationship Id="rId50" Type="http://schemas.openxmlformats.org/officeDocument/2006/relationships/hyperlink" Target="https://www.universeal.co.uk/flexigrip-250m-cable-seal" TargetMode="External"/><Relationship Id="rId55" Type="http://schemas.openxmlformats.org/officeDocument/2006/relationships/hyperlink" Target="https://www.accu.co.uk/en/phillips-self-tapping-pan-screws/372281-SIPT-No-14-4-A2-BL" TargetMode="External"/><Relationship Id="rId7" Type="http://schemas.openxmlformats.org/officeDocument/2006/relationships/hyperlink" Target="https://smicro.eu/supermicro-aom-tpm-9655h-c-1" TargetMode="External"/><Relationship Id="rId71" Type="http://schemas.openxmlformats.org/officeDocument/2006/relationships/hyperlink" Target="https://www.acrelenergy.com/products/adl200/"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nimblefins.co.uk/average-uk-household-budget" TargetMode="External"/><Relationship Id="rId2" Type="http://schemas.openxmlformats.org/officeDocument/2006/relationships/hyperlink" Target="https://www.ons.gov.uk/peoplepopulationandcommunity/populationandmigration/populationestimates/datasets/populationestimatesforukenglandandwalesscotlandandnorthernireland" TargetMode="External"/><Relationship Id="rId1" Type="http://schemas.openxmlformats.org/officeDocument/2006/relationships/hyperlink" Target="https://view.officeapps.live.com/op/view.aspx?src=https%3A%2F%2Fassets.publishing.service.gov.uk%2Fmedia%2F682213d3d9c9bb76078f7f67%2Fcarbon_footprint_statistical_release_figures_and_tables_dataset.ods&amp;wdOrigin=BROWSELINK" TargetMode="External"/><Relationship Id="rId4" Type="http://schemas.openxmlformats.org/officeDocument/2006/relationships/hyperlink" Target="https://energysavingtrust.org.uk/average-uk-energy-bi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1B675-5F34-4A3C-87D5-8B49D1EFDB8E}">
  <sheetPr>
    <tabColor rgb="FFF5F17F"/>
  </sheetPr>
  <dimension ref="B2:B22"/>
  <sheetViews>
    <sheetView showGridLines="0" tabSelected="1" workbookViewId="0"/>
  </sheetViews>
  <sheetFormatPr defaultColWidth="8.75" defaultRowHeight="19.5"/>
  <cols>
    <col min="1" max="1" width="4.25" style="2" customWidth="1"/>
    <col min="2" max="2" width="155.875" style="3" customWidth="1"/>
    <col min="3" max="16384" width="8.75" style="2"/>
  </cols>
  <sheetData>
    <row r="2" spans="2:2">
      <c r="B2" s="28" t="s">
        <v>0</v>
      </c>
    </row>
    <row r="3" spans="2:2">
      <c r="B3" s="29"/>
    </row>
    <row r="4" spans="2:2" ht="36">
      <c r="B4" s="30" t="s">
        <v>1</v>
      </c>
    </row>
    <row r="5" spans="2:2">
      <c r="B5" s="30"/>
    </row>
    <row r="6" spans="2:2">
      <c r="B6" s="32" t="s">
        <v>2</v>
      </c>
    </row>
    <row r="7" spans="2:2">
      <c r="B7" s="30" t="s">
        <v>3</v>
      </c>
    </row>
    <row r="8" spans="2:2" ht="36">
      <c r="B8" s="31" t="s">
        <v>4</v>
      </c>
    </row>
    <row r="9" spans="2:2" ht="36">
      <c r="B9" s="31" t="s">
        <v>5</v>
      </c>
    </row>
    <row r="10" spans="2:2" ht="36">
      <c r="B10" s="31" t="s">
        <v>6</v>
      </c>
    </row>
    <row r="11" spans="2:2">
      <c r="B11" s="32" t="s">
        <v>7</v>
      </c>
    </row>
    <row r="12" spans="2:2" ht="36">
      <c r="B12" s="30" t="s">
        <v>8</v>
      </c>
    </row>
    <row r="13" spans="2:2" ht="36">
      <c r="B13" s="30" t="s">
        <v>9</v>
      </c>
    </row>
    <row r="14" spans="2:2">
      <c r="B14" s="32" t="s">
        <v>10</v>
      </c>
    </row>
    <row r="15" spans="2:2" ht="54">
      <c r="B15" s="30" t="s">
        <v>11</v>
      </c>
    </row>
    <row r="16" spans="2:2">
      <c r="B16" s="32" t="s">
        <v>12</v>
      </c>
    </row>
    <row r="17" spans="2:2">
      <c r="B17" s="30" t="s">
        <v>13</v>
      </c>
    </row>
    <row r="18" spans="2:2">
      <c r="B18" s="30" t="s">
        <v>14</v>
      </c>
    </row>
    <row r="19" spans="2:2">
      <c r="B19" s="30" t="s">
        <v>15</v>
      </c>
    </row>
    <row r="20" spans="2:2" ht="36">
      <c r="B20" s="30" t="s">
        <v>16</v>
      </c>
    </row>
    <row r="21" spans="2:2">
      <c r="B21" s="30"/>
    </row>
    <row r="22" spans="2:2" ht="54">
      <c r="B22" s="30" t="s">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27FD3-668E-48B1-A7D3-0ED4FC912915}">
  <sheetPr>
    <tabColor rgb="FF366340"/>
  </sheetPr>
  <dimension ref="B2:G37"/>
  <sheetViews>
    <sheetView showGridLines="0" showOutlineSymbols="0" showWhiteSpace="0" zoomScale="85" zoomScaleNormal="85" workbookViewId="0"/>
  </sheetViews>
  <sheetFormatPr defaultColWidth="8.75" defaultRowHeight="24.75"/>
  <cols>
    <col min="1" max="1" width="8.75" style="40" customWidth="1"/>
    <col min="2" max="2" width="68" style="40" customWidth="1"/>
    <col min="3" max="3" width="21.125" style="40" customWidth="1"/>
    <col min="4" max="4" width="27.125" style="40" customWidth="1"/>
    <col min="5" max="5" width="60.5" style="40" customWidth="1"/>
    <col min="6" max="7" width="8.75" style="40" customWidth="1"/>
    <col min="8" max="8" width="62.875" style="40" customWidth="1"/>
    <col min="9" max="11" width="8.75" style="40"/>
    <col min="12" max="12" width="8.75" style="40" customWidth="1"/>
    <col min="13" max="16384" width="8.75" style="40"/>
  </cols>
  <sheetData>
    <row r="2" spans="2:6" ht="27">
      <c r="B2" s="175" t="s">
        <v>18</v>
      </c>
      <c r="C2" s="175"/>
      <c r="D2" s="175"/>
      <c r="E2" s="175"/>
    </row>
    <row r="3" spans="2:6" ht="163.5" customHeight="1">
      <c r="B3" s="176" t="s">
        <v>19</v>
      </c>
      <c r="C3" s="176"/>
      <c r="D3" s="176"/>
      <c r="E3" s="176"/>
    </row>
    <row r="4" spans="2:6">
      <c r="B4" s="41"/>
      <c r="C4" s="41"/>
      <c r="D4" s="41"/>
      <c r="E4" s="41"/>
      <c r="F4" s="42"/>
    </row>
    <row r="6" spans="2:6" ht="27">
      <c r="B6" s="175" t="s">
        <v>20</v>
      </c>
      <c r="C6" s="175"/>
      <c r="D6" s="175"/>
      <c r="E6" s="175"/>
    </row>
    <row r="7" spans="2:6">
      <c r="B7" s="177" t="s">
        <v>21</v>
      </c>
      <c r="C7" s="177"/>
      <c r="D7" s="177"/>
      <c r="E7" s="177"/>
    </row>
    <row r="8" spans="2:6" ht="35.25" customHeight="1">
      <c r="B8" s="176" t="s">
        <v>22</v>
      </c>
      <c r="C8" s="176"/>
      <c r="D8" s="176"/>
      <c r="E8" s="176"/>
    </row>
    <row r="9" spans="2:6">
      <c r="B9" s="177" t="s">
        <v>23</v>
      </c>
      <c r="C9" s="177"/>
      <c r="D9" s="177"/>
      <c r="E9" s="177"/>
    </row>
    <row r="10" spans="2:6" ht="36" customHeight="1">
      <c r="B10" s="176" t="s">
        <v>24</v>
      </c>
      <c r="C10" s="176"/>
      <c r="D10" s="176"/>
      <c r="E10" s="176"/>
    </row>
    <row r="11" spans="2:6" ht="24.75" customHeight="1">
      <c r="B11" s="177" t="s">
        <v>25</v>
      </c>
      <c r="C11" s="177"/>
      <c r="D11" s="177"/>
      <c r="E11" s="177"/>
    </row>
    <row r="12" spans="2:6" ht="36" customHeight="1">
      <c r="B12" s="176" t="s">
        <v>26</v>
      </c>
      <c r="C12" s="176"/>
      <c r="D12" s="176"/>
      <c r="E12" s="176"/>
    </row>
    <row r="13" spans="2:6">
      <c r="B13" s="41"/>
      <c r="C13" s="41"/>
      <c r="D13" s="41"/>
      <c r="E13" s="41"/>
      <c r="F13" s="42"/>
    </row>
    <row r="14" spans="2:6" ht="27">
      <c r="B14" s="175" t="s">
        <v>27</v>
      </c>
      <c r="C14" s="175"/>
      <c r="D14" s="175"/>
      <c r="E14" s="175"/>
    </row>
    <row r="15" spans="2:6">
      <c r="B15" s="50" t="s">
        <v>28</v>
      </c>
      <c r="C15" s="49"/>
      <c r="D15" s="49"/>
      <c r="E15" s="49"/>
    </row>
    <row r="16" spans="2:6" ht="24" customHeight="1">
      <c r="B16" s="47" t="s">
        <v>29</v>
      </c>
      <c r="C16" s="51">
        <v>2025</v>
      </c>
      <c r="D16" s="43" t="s">
        <v>30</v>
      </c>
    </row>
    <row r="17" spans="2:7" ht="24" customHeight="1">
      <c r="B17" s="47" t="s">
        <v>31</v>
      </c>
      <c r="C17" s="36">
        <v>1</v>
      </c>
      <c r="D17" s="43" t="s">
        <v>32</v>
      </c>
    </row>
    <row r="18" spans="2:7" ht="24" customHeight="1">
      <c r="B18" s="47" t="s">
        <v>33</v>
      </c>
      <c r="C18" s="36">
        <v>30</v>
      </c>
      <c r="D18" s="43" t="s">
        <v>34</v>
      </c>
    </row>
    <row r="19" spans="2:7" ht="13.5" customHeight="1"/>
    <row r="20" spans="2:7">
      <c r="B20" s="50" t="s">
        <v>35</v>
      </c>
    </row>
    <row r="21" spans="2:7">
      <c r="C21" s="44" t="s">
        <v>36</v>
      </c>
      <c r="D21" s="44" t="s">
        <v>37</v>
      </c>
      <c r="E21" s="44"/>
    </row>
    <row r="22" spans="2:7">
      <c r="B22" s="48" t="s">
        <v>38</v>
      </c>
      <c r="C22" s="152">
        <f>'First order effects'!B136</f>
        <v>0.7</v>
      </c>
      <c r="D22" s="8"/>
      <c r="E22" s="154" t="s">
        <v>39</v>
      </c>
    </row>
    <row r="23" spans="2:7">
      <c r="B23" s="48" t="s">
        <v>40</v>
      </c>
      <c r="C23" s="163">
        <f>Backend!E19</f>
        <v>1.56</v>
      </c>
      <c r="D23" s="8"/>
      <c r="E23" s="154" t="s">
        <v>41</v>
      </c>
    </row>
    <row r="24" spans="2:7" ht="18.75" customHeight="1">
      <c r="B24" s="41"/>
      <c r="C24" s="41"/>
      <c r="D24" s="41"/>
      <c r="E24" s="41"/>
    </row>
    <row r="25" spans="2:7" ht="11.25" customHeight="1"/>
    <row r="26" spans="2:7" ht="27">
      <c r="B26" s="175" t="s">
        <v>42</v>
      </c>
      <c r="C26" s="175"/>
      <c r="D26" s="175"/>
      <c r="E26" s="175"/>
    </row>
    <row r="27" spans="2:7">
      <c r="B27" s="2" t="s">
        <v>43</v>
      </c>
      <c r="C27" s="155">
        <f>SUM(Backend!K21:K22)</f>
        <v>235790</v>
      </c>
      <c r="D27" s="2" t="s">
        <v>44</v>
      </c>
      <c r="E27" s="43"/>
    </row>
    <row r="28" spans="2:7">
      <c r="B28" s="2" t="s">
        <v>45</v>
      </c>
      <c r="C28" s="155">
        <f>Backend!K25</f>
        <v>147168</v>
      </c>
      <c r="D28" s="2" t="s">
        <v>44</v>
      </c>
      <c r="E28" s="43"/>
    </row>
    <row r="29" spans="2:7">
      <c r="B29" s="2" t="str">
        <f>Backend!H34</f>
        <v>Net impact of heata unit per kWh compute</v>
      </c>
      <c r="C29" s="165">
        <f>Backend!K34</f>
        <v>-0.30713554484881744</v>
      </c>
      <c r="D29" s="2" t="s">
        <v>46</v>
      </c>
      <c r="E29" s="43"/>
    </row>
    <row r="30" spans="2:7">
      <c r="B30" s="2" t="s">
        <v>47</v>
      </c>
      <c r="C30" s="10">
        <f>Backend!K38</f>
        <v>-80.715221186269218</v>
      </c>
      <c r="D30" s="2" t="s">
        <v>48</v>
      </c>
      <c r="G30" s="39"/>
    </row>
    <row r="31" spans="2:7" s="46" customFormat="1">
      <c r="B31" s="2" t="s">
        <v>49</v>
      </c>
      <c r="C31" s="10">
        <f>Backend!K39</f>
        <v>-76.753369360745921</v>
      </c>
      <c r="D31" s="2" t="s">
        <v>48</v>
      </c>
      <c r="E31" s="40"/>
    </row>
    <row r="32" spans="2:7" ht="11.25" customHeight="1">
      <c r="B32" s="41"/>
      <c r="C32" s="41"/>
      <c r="D32" s="41"/>
      <c r="E32" s="41"/>
    </row>
    <row r="33" spans="2:5" ht="10.5" customHeight="1"/>
    <row r="34" spans="2:5" ht="25.5" customHeight="1">
      <c r="B34" s="175" t="s">
        <v>50</v>
      </c>
      <c r="C34" s="175"/>
      <c r="D34" s="175"/>
      <c r="E34" s="175"/>
    </row>
    <row r="35" spans="2:5" ht="6" customHeight="1"/>
    <row r="36" spans="2:5">
      <c r="B36" s="33" t="s">
        <v>51</v>
      </c>
      <c r="C36" s="16">
        <f>'Uncertainty Analysis'!G10</f>
        <v>-54.980220923759525</v>
      </c>
      <c r="D36" s="2" t="s">
        <v>52</v>
      </c>
    </row>
    <row r="37" spans="2:5">
      <c r="B37" s="33" t="s">
        <v>53</v>
      </c>
      <c r="C37" s="16">
        <f>'Uncertainty Analysis'!F10</f>
        <v>-120.01258275543401</v>
      </c>
      <c r="D37" s="2" t="s">
        <v>52</v>
      </c>
    </row>
  </sheetData>
  <sheetProtection sort="0" pivotTables="0"/>
  <mergeCells count="12">
    <mergeCell ref="B26:E26"/>
    <mergeCell ref="B34:E34"/>
    <mergeCell ref="B3:E3"/>
    <mergeCell ref="B2:E2"/>
    <mergeCell ref="B14:E14"/>
    <mergeCell ref="B6:E6"/>
    <mergeCell ref="B8:E8"/>
    <mergeCell ref="B7:E7"/>
    <mergeCell ref="B9:E9"/>
    <mergeCell ref="B10:E10"/>
    <mergeCell ref="B11:E11"/>
    <mergeCell ref="B12:E12"/>
  </mergeCells>
  <phoneticPr fontId="7" type="noConversion"/>
  <dataValidations count="1">
    <dataValidation type="list" allowBlank="1" showInputMessage="1" showErrorMessage="1" sqref="C16" xr:uid="{B3898219-D734-45D6-ADCA-D56C7D188A0D}">
      <formula1>"2024,2025"</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480F1-A67B-4DBB-B84C-7AFFAF9380B8}">
  <sheetPr>
    <tabColor rgb="FF046C8B"/>
  </sheetPr>
  <dimension ref="B2:K39"/>
  <sheetViews>
    <sheetView showGridLines="0" showOutlineSymbols="0" showWhiteSpace="0" zoomScale="75" workbookViewId="0"/>
  </sheetViews>
  <sheetFormatPr defaultColWidth="8.75" defaultRowHeight="19.5"/>
  <cols>
    <col min="1" max="1" width="4.125" style="2" customWidth="1"/>
    <col min="2" max="2" width="60" style="2" customWidth="1"/>
    <col min="3" max="3" width="43.125" style="2" customWidth="1"/>
    <col min="4" max="4" width="19.375" style="2" customWidth="1"/>
    <col min="5" max="5" width="15.75" style="2" customWidth="1"/>
    <col min="6" max="6" width="4.25" style="2" customWidth="1"/>
    <col min="7" max="7" width="4.25" style="22" customWidth="1"/>
    <col min="8" max="8" width="67.5" style="2" customWidth="1"/>
    <col min="9" max="9" width="71.75" style="2" customWidth="1"/>
    <col min="10" max="10" width="22.25" style="2" customWidth="1"/>
    <col min="11" max="11" width="16.75" style="2" customWidth="1"/>
    <col min="12" max="16384" width="8.75" style="2"/>
  </cols>
  <sheetData>
    <row r="2" spans="2:11" ht="25.5">
      <c r="B2" s="21" t="s">
        <v>27</v>
      </c>
      <c r="H2" s="21" t="s">
        <v>54</v>
      </c>
    </row>
    <row r="3" spans="2:11">
      <c r="H3" s="2" t="s">
        <v>55</v>
      </c>
    </row>
    <row r="4" spans="2:11">
      <c r="B4" s="23" t="s">
        <v>28</v>
      </c>
      <c r="C4" s="23" t="s">
        <v>56</v>
      </c>
      <c r="D4" s="23" t="s">
        <v>57</v>
      </c>
      <c r="E4" s="23" t="s">
        <v>58</v>
      </c>
      <c r="H4" s="23" t="s">
        <v>59</v>
      </c>
      <c r="I4" s="23" t="s">
        <v>60</v>
      </c>
      <c r="J4" s="23" t="s">
        <v>57</v>
      </c>
      <c r="K4" s="23" t="s">
        <v>58</v>
      </c>
    </row>
    <row r="5" spans="2:11">
      <c r="B5" s="24" t="str">
        <f>Calculator!B16</f>
        <v>Year of use</v>
      </c>
      <c r="C5" s="24"/>
      <c r="D5" s="24" t="str">
        <f>Calculator!D16</f>
        <v>-</v>
      </c>
      <c r="E5" s="24">
        <f>Calculator!C16</f>
        <v>2025</v>
      </c>
      <c r="H5" s="8" t="s">
        <v>61</v>
      </c>
      <c r="I5" s="24" t="s">
        <v>62</v>
      </c>
      <c r="J5" s="8" t="s">
        <v>63</v>
      </c>
      <c r="K5" s="25">
        <f>(E7/12)*365*24</f>
        <v>4380</v>
      </c>
    </row>
    <row r="6" spans="2:11">
      <c r="B6" s="24" t="str">
        <f>Calculator!B17</f>
        <v>Time period for heata use</v>
      </c>
      <c r="C6" s="24"/>
      <c r="D6" s="24" t="str">
        <f>Calculator!D17</f>
        <v>years</v>
      </c>
      <c r="E6" s="24">
        <f>Calculator!C17</f>
        <v>1</v>
      </c>
      <c r="H6" s="8" t="s">
        <v>64</v>
      </c>
      <c r="I6" s="24" t="s">
        <v>62</v>
      </c>
      <c r="J6" s="8" t="s">
        <v>63</v>
      </c>
      <c r="K6" s="25">
        <f>(E8/12)*365*24</f>
        <v>4380</v>
      </c>
    </row>
    <row r="7" spans="2:11">
      <c r="B7" s="24" t="s">
        <v>65</v>
      </c>
      <c r="C7" s="24"/>
      <c r="D7" s="24" t="s">
        <v>66</v>
      </c>
      <c r="E7" s="26">
        <f>6*Calculator!$C$17</f>
        <v>6</v>
      </c>
      <c r="H7" s="8" t="s">
        <v>67</v>
      </c>
      <c r="I7" s="8" t="s">
        <v>68</v>
      </c>
      <c r="J7" s="8" t="s">
        <v>44</v>
      </c>
      <c r="K7" s="25">
        <f>E9*SUM(K5:K6)</f>
        <v>262800</v>
      </c>
    </row>
    <row r="8" spans="2:11">
      <c r="B8" s="24" t="s">
        <v>69</v>
      </c>
      <c r="C8" s="24"/>
      <c r="D8" s="24" t="s">
        <v>66</v>
      </c>
      <c r="E8" s="26">
        <f>6*Calculator!$C$17</f>
        <v>6</v>
      </c>
      <c r="H8" s="8" t="s">
        <v>70</v>
      </c>
      <c r="I8" s="8" t="s">
        <v>71</v>
      </c>
      <c r="J8" s="8" t="s">
        <v>34</v>
      </c>
      <c r="K8" s="124">
        <f>(((E16-E17)*E12+E17)/1000)</f>
        <v>0.22800000000000001</v>
      </c>
    </row>
    <row r="9" spans="2:11">
      <c r="B9" s="24" t="str">
        <f>Calculator!B18</f>
        <v>kW of processing compute (average)</v>
      </c>
      <c r="C9" s="24" t="s">
        <v>72</v>
      </c>
      <c r="D9" s="24" t="s">
        <v>34</v>
      </c>
      <c r="E9" s="26">
        <f>Calculator!C18</f>
        <v>30</v>
      </c>
      <c r="H9" s="8" t="s">
        <v>73</v>
      </c>
      <c r="I9" s="8" t="s">
        <v>74</v>
      </c>
      <c r="J9" s="8" t="s">
        <v>44</v>
      </c>
      <c r="K9" s="25">
        <f>K8*E18*365*24</f>
        <v>9986.4000000000015</v>
      </c>
    </row>
    <row r="10" spans="2:11">
      <c r="H10" s="8" t="s">
        <v>75</v>
      </c>
      <c r="I10" s="8" t="s">
        <v>76</v>
      </c>
      <c r="J10" s="8" t="s">
        <v>77</v>
      </c>
      <c r="K10" s="124">
        <f>'First order effects'!C107</f>
        <v>187.12747849022006</v>
      </c>
    </row>
    <row r="11" spans="2:11">
      <c r="B11" s="23" t="s">
        <v>35</v>
      </c>
      <c r="C11" s="23" t="s">
        <v>56</v>
      </c>
      <c r="D11" s="23" t="s">
        <v>57</v>
      </c>
      <c r="E11" s="23" t="s">
        <v>58</v>
      </c>
      <c r="H11" s="8" t="s">
        <v>78</v>
      </c>
      <c r="I11" s="8" t="s">
        <v>79</v>
      </c>
      <c r="J11" s="8" t="s">
        <v>80</v>
      </c>
      <c r="K11" s="144">
        <f>(K10/K9)</f>
        <v>1.8738231844330291E-2</v>
      </c>
    </row>
    <row r="12" spans="2:11">
      <c r="B12" s="24" t="str">
        <f>Calculator!B22</f>
        <v>heata unit utilisation (%)</v>
      </c>
      <c r="C12" s="24"/>
      <c r="D12" s="24" t="s">
        <v>81</v>
      </c>
      <c r="E12" s="147">
        <f>IF(Calculator!D22="",Calculator!C22,Calculator!D22)</f>
        <v>0.7</v>
      </c>
      <c r="H12" s="8" t="s">
        <v>82</v>
      </c>
      <c r="I12" s="8" t="s">
        <v>76</v>
      </c>
      <c r="J12" s="8" t="s">
        <v>77</v>
      </c>
      <c r="K12" s="25">
        <f>SUM('First order effects'!E130:E131)</f>
        <v>26.441359199999997</v>
      </c>
    </row>
    <row r="13" spans="2:11">
      <c r="B13" s="24" t="s">
        <v>83</v>
      </c>
      <c r="C13" s="81"/>
      <c r="D13" s="24" t="s">
        <v>30</v>
      </c>
      <c r="E13" s="164">
        <f>IF(Calculator!D23="",Calculator!C23,Calculator!D23)</f>
        <v>1.56</v>
      </c>
      <c r="H13" s="8" t="s">
        <v>84</v>
      </c>
      <c r="I13" s="8" t="s">
        <v>85</v>
      </c>
      <c r="J13" s="8" t="s">
        <v>80</v>
      </c>
      <c r="K13" s="148">
        <f>K12/K9</f>
        <v>2.6477368421052626E-3</v>
      </c>
    </row>
    <row r="14" spans="2:11">
      <c r="H14" s="8" t="s">
        <v>86</v>
      </c>
      <c r="I14" s="8" t="s">
        <v>76</v>
      </c>
      <c r="J14" s="8" t="s">
        <v>77</v>
      </c>
      <c r="K14" s="124">
        <f>SUM('First order effects'!F112:F117)</f>
        <v>0.10805083154999999</v>
      </c>
    </row>
    <row r="15" spans="2:11">
      <c r="B15" s="23" t="s">
        <v>87</v>
      </c>
      <c r="C15" s="23" t="s">
        <v>56</v>
      </c>
      <c r="D15" s="23" t="s">
        <v>57</v>
      </c>
      <c r="E15" s="23" t="s">
        <v>58</v>
      </c>
      <c r="H15" s="8" t="s">
        <v>88</v>
      </c>
      <c r="I15" s="8" t="s">
        <v>89</v>
      </c>
      <c r="J15" s="8" t="s">
        <v>80</v>
      </c>
      <c r="K15" s="149">
        <f>(K14/K9)</f>
        <v>1.0819798080389328E-5</v>
      </c>
    </row>
    <row r="16" spans="2:11">
      <c r="B16" s="24" t="s">
        <v>90</v>
      </c>
      <c r="C16" s="24" t="s">
        <v>91</v>
      </c>
      <c r="D16" s="24" t="s">
        <v>92</v>
      </c>
      <c r="E16" s="146">
        <v>300</v>
      </c>
      <c r="H16" s="8" t="s">
        <v>93</v>
      </c>
      <c r="I16" s="8" t="s">
        <v>94</v>
      </c>
      <c r="J16" s="8" t="s">
        <v>80</v>
      </c>
      <c r="K16" s="124" t="s">
        <v>30</v>
      </c>
    </row>
    <row r="17" spans="2:11">
      <c r="B17" s="24" t="s">
        <v>90</v>
      </c>
      <c r="C17" s="24" t="s">
        <v>95</v>
      </c>
      <c r="D17" s="24" t="s">
        <v>92</v>
      </c>
      <c r="E17" s="146">
        <v>60</v>
      </c>
      <c r="H17" s="8" t="s">
        <v>96</v>
      </c>
      <c r="I17" s="8" t="s">
        <v>97</v>
      </c>
      <c r="J17" s="8" t="s">
        <v>30</v>
      </c>
      <c r="K17" s="124">
        <f>E9/K8</f>
        <v>131.57894736842104</v>
      </c>
    </row>
    <row r="18" spans="2:11">
      <c r="B18" s="24" t="s">
        <v>98</v>
      </c>
      <c r="C18" s="24"/>
      <c r="D18" s="24" t="s">
        <v>99</v>
      </c>
      <c r="E18" s="153">
        <v>5</v>
      </c>
      <c r="H18" s="52"/>
      <c r="I18" s="52"/>
      <c r="J18" s="52"/>
      <c r="K18" s="53"/>
    </row>
    <row r="19" spans="2:11">
      <c r="B19" s="24" t="s">
        <v>83</v>
      </c>
      <c r="C19" s="166" t="s">
        <v>100</v>
      </c>
      <c r="D19" s="24" t="s">
        <v>30</v>
      </c>
      <c r="E19" s="164">
        <v>1.56</v>
      </c>
      <c r="H19" s="2" t="s">
        <v>101</v>
      </c>
    </row>
    <row r="20" spans="2:11">
      <c r="H20" s="23" t="s">
        <v>59</v>
      </c>
      <c r="I20" s="23" t="s">
        <v>60</v>
      </c>
      <c r="J20" s="23" t="s">
        <v>57</v>
      </c>
      <c r="K20" s="23" t="s">
        <v>58</v>
      </c>
    </row>
    <row r="21" spans="2:11">
      <c r="B21" s="23" t="s">
        <v>102</v>
      </c>
      <c r="C21" s="23" t="s">
        <v>56</v>
      </c>
      <c r="D21" s="23" t="s">
        <v>57</v>
      </c>
      <c r="E21" s="23" t="s">
        <v>58</v>
      </c>
      <c r="H21" s="8" t="s">
        <v>103</v>
      </c>
      <c r="I21" s="8" t="s">
        <v>104</v>
      </c>
      <c r="J21" s="8" t="s">
        <v>44</v>
      </c>
      <c r="K21" s="25">
        <f>'Second order effects'!D21*Backend!K5*$E$9</f>
        <v>70992.500000000015</v>
      </c>
    </row>
    <row r="22" spans="2:11">
      <c r="B22" s="8" t="s">
        <v>105</v>
      </c>
      <c r="C22" s="24" t="s">
        <v>106</v>
      </c>
      <c r="D22" s="8" t="s">
        <v>80</v>
      </c>
      <c r="E22" s="56">
        <v>0.21299999999999999</v>
      </c>
      <c r="H22" s="8" t="s">
        <v>107</v>
      </c>
      <c r="I22" s="8" t="s">
        <v>104</v>
      </c>
      <c r="J22" s="8" t="s">
        <v>44</v>
      </c>
      <c r="K22" s="25">
        <f>'Second order effects'!C21*Backend!K6*$E$9</f>
        <v>164797.5</v>
      </c>
    </row>
    <row r="23" spans="2:11">
      <c r="B23" s="8" t="s">
        <v>108</v>
      </c>
      <c r="C23" s="24" t="s">
        <v>109</v>
      </c>
      <c r="D23" s="8" t="s">
        <v>80</v>
      </c>
      <c r="E23" s="56">
        <v>0.27522000000000002</v>
      </c>
      <c r="H23" s="8" t="s">
        <v>110</v>
      </c>
      <c r="I23" s="8" t="s">
        <v>111</v>
      </c>
      <c r="J23" s="8" t="s">
        <v>112</v>
      </c>
      <c r="K23" s="144">
        <f>SUM(K21:K22)/K7</f>
        <v>0.89722222222222225</v>
      </c>
    </row>
    <row r="24" spans="2:11">
      <c r="B24" s="8" t="s">
        <v>108</v>
      </c>
      <c r="C24" s="24" t="s">
        <v>113</v>
      </c>
      <c r="D24" s="8" t="s">
        <v>80</v>
      </c>
      <c r="E24" s="57">
        <v>0.24540000000000001</v>
      </c>
      <c r="H24" s="8" t="s">
        <v>114</v>
      </c>
      <c r="I24" s="24" t="s">
        <v>115</v>
      </c>
      <c r="J24" s="8" t="s">
        <v>44</v>
      </c>
      <c r="K24" s="25">
        <f>K7</f>
        <v>262800</v>
      </c>
    </row>
    <row r="25" spans="2:11">
      <c r="B25" s="24" t="s">
        <v>116</v>
      </c>
      <c r="C25" s="27" t="s">
        <v>117</v>
      </c>
      <c r="D25" s="24" t="s">
        <v>118</v>
      </c>
      <c r="E25" s="24">
        <v>24865.48</v>
      </c>
      <c r="H25" s="8" t="s">
        <v>119</v>
      </c>
      <c r="I25" s="8" t="s">
        <v>120</v>
      </c>
      <c r="J25" s="8" t="s">
        <v>44</v>
      </c>
      <c r="K25" s="25">
        <f>K24*(E13-1)</f>
        <v>147168</v>
      </c>
    </row>
    <row r="26" spans="2:11">
      <c r="B26" s="24" t="s">
        <v>121</v>
      </c>
      <c r="C26" s="27" t="s">
        <v>117</v>
      </c>
      <c r="D26" s="24" t="s">
        <v>118</v>
      </c>
      <c r="E26" s="24">
        <v>5647.95</v>
      </c>
      <c r="H26" s="8" t="s">
        <v>122</v>
      </c>
      <c r="I26" s="8" t="s">
        <v>123</v>
      </c>
      <c r="J26" s="8" t="s">
        <v>124</v>
      </c>
      <c r="K26" s="144">
        <f>(K25/K24)</f>
        <v>0.56000000000000005</v>
      </c>
    </row>
    <row r="27" spans="2:11">
      <c r="B27" s="24" t="s">
        <v>125</v>
      </c>
      <c r="C27" s="27" t="s">
        <v>117</v>
      </c>
      <c r="D27" s="24" t="s">
        <v>118</v>
      </c>
      <c r="E27" s="24">
        <v>3345.3083700000002</v>
      </c>
      <c r="H27" s="8" t="s">
        <v>126</v>
      </c>
      <c r="I27" s="8" t="s">
        <v>127</v>
      </c>
      <c r="J27" s="8"/>
      <c r="K27" s="25"/>
    </row>
    <row r="28" spans="2:11">
      <c r="B28" s="24" t="s">
        <v>128</v>
      </c>
      <c r="C28" s="27" t="s">
        <v>117</v>
      </c>
      <c r="D28" s="24" t="s">
        <v>118</v>
      </c>
      <c r="E28" s="24">
        <v>3815.78</v>
      </c>
    </row>
    <row r="29" spans="2:11">
      <c r="B29" s="125" t="s">
        <v>129</v>
      </c>
      <c r="C29" s="126" t="s">
        <v>117</v>
      </c>
      <c r="D29" s="125" t="s">
        <v>118</v>
      </c>
      <c r="E29" s="125">
        <v>9106.92</v>
      </c>
      <c r="H29" s="2" t="s">
        <v>130</v>
      </c>
    </row>
    <row r="30" spans="2:11">
      <c r="B30" s="24" t="s">
        <v>131</v>
      </c>
      <c r="C30" s="27" t="s">
        <v>117</v>
      </c>
      <c r="D30" s="24" t="s">
        <v>118</v>
      </c>
      <c r="E30" s="24">
        <v>6.4106100000000001</v>
      </c>
      <c r="H30" s="23" t="s">
        <v>59</v>
      </c>
      <c r="I30" s="23" t="s">
        <v>60</v>
      </c>
      <c r="J30" s="23" t="s">
        <v>57</v>
      </c>
      <c r="K30" s="23" t="s">
        <v>58</v>
      </c>
    </row>
    <row r="31" spans="2:11">
      <c r="B31" s="125" t="s">
        <v>132</v>
      </c>
      <c r="C31" s="126" t="s">
        <v>117</v>
      </c>
      <c r="D31" s="125" t="s">
        <v>118</v>
      </c>
      <c r="E31" s="125">
        <v>6.4106100000000001</v>
      </c>
      <c r="H31" s="8" t="s">
        <v>133</v>
      </c>
      <c r="I31" s="8"/>
      <c r="J31" s="8" t="s">
        <v>134</v>
      </c>
      <c r="K31" s="144">
        <f>SUM(K16,K15,K13,K11)</f>
        <v>2.1396788484515941E-2</v>
      </c>
    </row>
    <row r="32" spans="2:11">
      <c r="B32" s="125" t="s">
        <v>135</v>
      </c>
      <c r="C32" s="126" t="s">
        <v>117</v>
      </c>
      <c r="D32" s="125" t="s">
        <v>118</v>
      </c>
      <c r="E32" s="125">
        <v>8.8838600000000003</v>
      </c>
      <c r="H32" s="8" t="s">
        <v>136</v>
      </c>
      <c r="I32" s="8" t="s">
        <v>137</v>
      </c>
      <c r="J32" s="8" t="s">
        <v>134</v>
      </c>
      <c r="K32" s="144">
        <f>-K23*E22</f>
        <v>-0.19110833333333332</v>
      </c>
    </row>
    <row r="33" spans="2:11">
      <c r="H33" s="8" t="s">
        <v>138</v>
      </c>
      <c r="I33" s="8"/>
      <c r="J33" s="8" t="s">
        <v>134</v>
      </c>
      <c r="K33" s="144">
        <f>-K26*IF(Year=2024,ElecEF_UK_2024,IF(Year=2025,ElecEF_UK_2025,"No emission factor available"))</f>
        <v>-0.13742400000000002</v>
      </c>
    </row>
    <row r="34" spans="2:11">
      <c r="B34" s="23" t="s">
        <v>139</v>
      </c>
      <c r="C34" s="23"/>
      <c r="D34" s="23"/>
      <c r="H34" s="8" t="s">
        <v>140</v>
      </c>
      <c r="I34" s="8"/>
      <c r="J34" s="8" t="s">
        <v>134</v>
      </c>
      <c r="K34" s="144">
        <f>SUM(K31,K32,K33)</f>
        <v>-0.30713554484881744</v>
      </c>
    </row>
    <row r="35" spans="2:11">
      <c r="B35" s="179" t="s">
        <v>141</v>
      </c>
      <c r="C35" s="180"/>
      <c r="D35" s="166" t="s">
        <v>142</v>
      </c>
      <c r="E35" s="168" t="s">
        <v>143</v>
      </c>
    </row>
    <row r="36" spans="2:11">
      <c r="B36" s="178" t="s">
        <v>144</v>
      </c>
      <c r="C36" s="178"/>
      <c r="D36" s="178"/>
      <c r="E36" s="168" t="s">
        <v>143</v>
      </c>
      <c r="H36" s="2" t="s">
        <v>145</v>
      </c>
    </row>
    <row r="37" spans="2:11">
      <c r="B37" s="178"/>
      <c r="C37" s="178"/>
      <c r="D37" s="178"/>
      <c r="H37" s="23" t="s">
        <v>59</v>
      </c>
      <c r="I37" s="23" t="s">
        <v>60</v>
      </c>
      <c r="J37" s="23" t="s">
        <v>57</v>
      </c>
      <c r="K37" s="23" t="s">
        <v>58</v>
      </c>
    </row>
    <row r="38" spans="2:11">
      <c r="H38" s="8" t="s">
        <v>47</v>
      </c>
      <c r="I38" s="8" t="s">
        <v>146</v>
      </c>
      <c r="J38" s="8" t="s">
        <v>48</v>
      </c>
      <c r="K38" s="124">
        <f>K34*Backend!E9*(Backend!E6*365*24)/1000</f>
        <v>-80.715221186269218</v>
      </c>
    </row>
    <row r="39" spans="2:11">
      <c r="H39" s="8" t="s">
        <v>49</v>
      </c>
      <c r="I39" s="8" t="s">
        <v>147</v>
      </c>
      <c r="J39" s="8" t="s">
        <v>48</v>
      </c>
      <c r="K39" s="124">
        <f>K38+('Higher order effects'!C22/1000)</f>
        <v>-76.753369360745921</v>
      </c>
    </row>
  </sheetData>
  <mergeCells count="2">
    <mergeCell ref="B36:D37"/>
    <mergeCell ref="B35:C35"/>
  </mergeCells>
  <hyperlinks>
    <hyperlink ref="C19" r:id="rId1" xr:uid="{4C09E668-96F7-45E8-A087-67F18B0961F3}"/>
    <hyperlink ref="D35" r:id="rId2" xr:uid="{1FEEDFCA-6822-4E08-8BBD-257031983F52}"/>
  </hyperlinks>
  <pageMargins left="0.7" right="0.7" top="0.75" bottom="0.75" header="0.3" footer="0.3"/>
  <ignoredErrors>
    <ignoredError sqref="K33:K34 K38:K39 K5:K15 K17 K21:K26 K31:K32" unlockedFormula="1"/>
  </ignoredErrors>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42E65-52D7-4E5F-B82F-BA278CC069F4}">
  <sheetPr>
    <tabColor rgb="FFA6D9F7"/>
  </sheetPr>
  <dimension ref="B2:R45"/>
  <sheetViews>
    <sheetView showGridLines="0" zoomScale="85" zoomScaleNormal="85" workbookViewId="0"/>
  </sheetViews>
  <sheetFormatPr defaultColWidth="8.75" defaultRowHeight="19.5"/>
  <cols>
    <col min="1" max="1" width="3.75" style="2" customWidth="1"/>
    <col min="2" max="2" width="28" style="2" customWidth="1"/>
    <col min="3" max="3" width="28.25" style="2" customWidth="1"/>
    <col min="4" max="4" width="53.375" style="2" customWidth="1"/>
    <col min="5" max="9" width="15.625" style="2" customWidth="1"/>
    <col min="10" max="12" width="14.125" style="2" customWidth="1"/>
    <col min="13" max="15" width="14.125" style="3" customWidth="1"/>
    <col min="16" max="16" width="15.875" style="3" customWidth="1"/>
    <col min="17" max="18" width="19.625" style="2" customWidth="1"/>
    <col min="19" max="19" width="8.75" style="2" customWidth="1"/>
    <col min="20" max="20" width="19.125" style="2" customWidth="1"/>
    <col min="21" max="21" width="10.75" style="2" customWidth="1"/>
    <col min="22" max="22" width="25.625" style="2" customWidth="1"/>
    <col min="23" max="16384" width="8.75" style="2"/>
  </cols>
  <sheetData>
    <row r="2" spans="2:18">
      <c r="B2" s="1" t="s">
        <v>148</v>
      </c>
    </row>
    <row r="3" spans="2:18" ht="19.5" customHeight="1">
      <c r="B3" s="2" t="s">
        <v>149</v>
      </c>
    </row>
    <row r="4" spans="2:18" ht="39.75" customHeight="1">
      <c r="C4" s="92" t="s">
        <v>150</v>
      </c>
      <c r="D4" s="92" t="s">
        <v>151</v>
      </c>
      <c r="E4" s="92" t="s">
        <v>152</v>
      </c>
      <c r="F4" s="92" t="s">
        <v>153</v>
      </c>
      <c r="G4" s="92" t="s">
        <v>154</v>
      </c>
    </row>
    <row r="5" spans="2:18">
      <c r="B5" s="88" t="s">
        <v>155</v>
      </c>
      <c r="C5" s="55" t="str">
        <f t="shared" ref="C5:C9" si="0">C18</f>
        <v xml:space="preserve">1st order </v>
      </c>
      <c r="D5" s="55" t="s">
        <v>156</v>
      </c>
      <c r="E5" s="91">
        <f>P18*P23</f>
        <v>4924.4073286900002</v>
      </c>
      <c r="F5" s="91">
        <f t="shared" ref="E5:G9" si="1">Q18*Q23</f>
        <v>9962.7752738439231</v>
      </c>
      <c r="G5" s="91">
        <f t="shared" si="1"/>
        <v>2434.0393988932688</v>
      </c>
    </row>
    <row r="6" spans="2:18">
      <c r="B6" s="89"/>
      <c r="C6" s="55" t="str">
        <f t="shared" si="0"/>
        <v xml:space="preserve">1st order </v>
      </c>
      <c r="D6" s="55" t="s">
        <v>157</v>
      </c>
      <c r="E6" s="91">
        <f>P19*P24</f>
        <v>695.82524210526299</v>
      </c>
      <c r="F6" s="91">
        <f t="shared" si="1"/>
        <v>1269.3701556275387</v>
      </c>
      <c r="G6" s="91">
        <f t="shared" si="1"/>
        <v>381.42756500485649</v>
      </c>
    </row>
    <row r="7" spans="2:18">
      <c r="B7" s="89"/>
      <c r="C7" s="55" t="str">
        <f t="shared" si="0"/>
        <v xml:space="preserve">1st order </v>
      </c>
      <c r="D7" s="55" t="s">
        <v>158</v>
      </c>
      <c r="E7" s="91">
        <f t="shared" si="1"/>
        <v>2.8434429355263151</v>
      </c>
      <c r="F7" s="91">
        <f t="shared" si="1"/>
        <v>5.7526888171096466</v>
      </c>
      <c r="G7" s="91">
        <f t="shared" si="1"/>
        <v>1.4054589053292093</v>
      </c>
    </row>
    <row r="8" spans="2:18">
      <c r="B8" s="89"/>
      <c r="C8" s="55" t="str">
        <f t="shared" si="0"/>
        <v xml:space="preserve">2nd order </v>
      </c>
      <c r="D8" s="55" t="s">
        <v>159</v>
      </c>
      <c r="E8" s="91">
        <f t="shared" si="1"/>
        <v>-50223.27</v>
      </c>
      <c r="F8" s="91">
        <f t="shared" si="1"/>
        <v>-67633.516423426438</v>
      </c>
      <c r="G8" s="91">
        <f t="shared" si="1"/>
        <v>-37294.776064892234</v>
      </c>
    </row>
    <row r="9" spans="2:18">
      <c r="B9" s="90"/>
      <c r="C9" s="55" t="str">
        <f t="shared" si="0"/>
        <v xml:space="preserve">2nd order </v>
      </c>
      <c r="D9" s="55" t="s">
        <v>119</v>
      </c>
      <c r="E9" s="91">
        <f t="shared" si="1"/>
        <v>-36115.027200000004</v>
      </c>
      <c r="F9" s="91">
        <f t="shared" si="1"/>
        <v>-63616.964450296146</v>
      </c>
      <c r="G9" s="91">
        <f t="shared" si="1"/>
        <v>-20502.317281670741</v>
      </c>
    </row>
    <row r="10" spans="2:18" ht="31.5" customHeight="1">
      <c r="C10" s="86" t="s">
        <v>160</v>
      </c>
      <c r="D10" s="86"/>
      <c r="E10" s="10">
        <f>SUM(E5:E9)/1000</f>
        <v>-80.715221186269218</v>
      </c>
      <c r="F10" s="10">
        <f>SUM(F5:F9)/1000</f>
        <v>-120.01258275543401</v>
      </c>
      <c r="G10" s="10">
        <f>SUM(G5:G9)/1000</f>
        <v>-54.980220923759525</v>
      </c>
    </row>
    <row r="11" spans="2:18">
      <c r="C11" s="86" t="s">
        <v>161</v>
      </c>
      <c r="D11" s="94"/>
      <c r="E11" s="95"/>
      <c r="F11" s="45">
        <f>F10-$E$10</f>
        <v>-39.297361569164792</v>
      </c>
      <c r="G11" s="101">
        <f>G10-$E$10</f>
        <v>25.735000262509693</v>
      </c>
      <c r="H11" s="174">
        <f>-G11</f>
        <v>-25.735000262509693</v>
      </c>
    </row>
    <row r="12" spans="2:18">
      <c r="B12" s="3"/>
      <c r="C12" s="3"/>
      <c r="D12" s="3"/>
      <c r="E12" s="18" t="str">
        <f>IF(E10=Calculator!$C$30,"","Incorrect calculation of carbon savings enabled")</f>
        <v/>
      </c>
      <c r="F12" s="3"/>
    </row>
    <row r="13" spans="2:18">
      <c r="B13" s="1" t="s">
        <v>162</v>
      </c>
      <c r="E13" s="18"/>
    </row>
    <row r="14" spans="2:18">
      <c r="B14" s="2" t="s">
        <v>163</v>
      </c>
    </row>
    <row r="16" spans="2:18" ht="19.149999999999999" customHeight="1">
      <c r="E16" s="187" t="s">
        <v>164</v>
      </c>
      <c r="F16" s="187"/>
      <c r="G16" s="187"/>
      <c r="H16" s="187"/>
      <c r="I16" s="187"/>
      <c r="J16" s="184" t="s">
        <v>165</v>
      </c>
      <c r="K16" s="185"/>
      <c r="L16" s="185"/>
      <c r="M16" s="185"/>
      <c r="N16" s="185"/>
      <c r="O16" s="186"/>
      <c r="P16" s="181" t="s">
        <v>166</v>
      </c>
      <c r="Q16" s="182"/>
      <c r="R16" s="183"/>
    </row>
    <row r="17" spans="2:18" ht="42.75" customHeight="1">
      <c r="B17" s="4" t="s">
        <v>167</v>
      </c>
      <c r="C17" s="5" t="s">
        <v>150</v>
      </c>
      <c r="D17" s="5" t="s">
        <v>151</v>
      </c>
      <c r="E17" s="96" t="s">
        <v>168</v>
      </c>
      <c r="F17" s="54" t="s">
        <v>169</v>
      </c>
      <c r="G17" s="96" t="s">
        <v>170</v>
      </c>
      <c r="H17" s="54" t="s">
        <v>171</v>
      </c>
      <c r="I17" s="54" t="s">
        <v>172</v>
      </c>
      <c r="J17" s="96" t="s">
        <v>168</v>
      </c>
      <c r="K17" s="54" t="s">
        <v>169</v>
      </c>
      <c r="L17" s="96" t="s">
        <v>170</v>
      </c>
      <c r="M17" s="54" t="s">
        <v>171</v>
      </c>
      <c r="N17" s="54" t="s">
        <v>172</v>
      </c>
      <c r="O17" s="6" t="s">
        <v>173</v>
      </c>
      <c r="P17" s="7" t="s">
        <v>152</v>
      </c>
      <c r="Q17" s="7" t="s">
        <v>153</v>
      </c>
      <c r="R17" s="7" t="s">
        <v>154</v>
      </c>
    </row>
    <row r="18" spans="2:18" ht="18.600000000000001" customHeight="1">
      <c r="B18" s="188" t="s">
        <v>174</v>
      </c>
      <c r="C18" s="9" t="s">
        <v>175</v>
      </c>
      <c r="D18" s="82" t="s">
        <v>156</v>
      </c>
      <c r="E18" s="159" t="s">
        <v>176</v>
      </c>
      <c r="F18" s="159" t="s">
        <v>177</v>
      </c>
      <c r="G18" s="159" t="s">
        <v>176</v>
      </c>
      <c r="H18" s="159" t="s">
        <v>176</v>
      </c>
      <c r="I18" s="159" t="s">
        <v>176</v>
      </c>
      <c r="J18" s="84">
        <f t="shared" ref="J18:J27" si="2">INDEX($C$44:$F$44,MATCH(E18,$C$39:$F$39,0))</f>
        <v>1.2</v>
      </c>
      <c r="K18" s="84">
        <f t="shared" ref="K18:K27" si="3">INDEX($C$42:$F$42,MATCH(F18,$C$39:$F$39,0))</f>
        <v>1</v>
      </c>
      <c r="L18" s="84">
        <f t="shared" ref="L18:L27" si="4">INDEX($C$43:$F$43,MATCH(G18,$C$39:$F$39,0))</f>
        <v>1.02</v>
      </c>
      <c r="M18" s="84">
        <f t="shared" ref="M18:M27" si="5">INDEX($C$40:$F$40,MATCH(H18,$C$39:$F$39,0))</f>
        <v>1.1000000000000001</v>
      </c>
      <c r="N18" s="84">
        <f t="shared" ref="N18:N27" si="6">INDEX($C$41:$F$41,MATCH(I18,$C$39:$F$39,0))</f>
        <v>1.05</v>
      </c>
      <c r="O18" s="85">
        <f>EXP(SQRT((LN(J18)^2)+(LN(K18)^2)+(LN(L18)^2)+(LN(M18)^2)+(LN(N18)^2)))</f>
        <v>1.2365959919080913</v>
      </c>
      <c r="P18" s="93">
        <f>Backend!$K$7</f>
        <v>262800</v>
      </c>
      <c r="Q18" s="85">
        <f t="shared" ref="Q18:Q20" si="7">P18*O18</f>
        <v>324977.42667344637</v>
      </c>
      <c r="R18" s="85">
        <f t="shared" ref="R18:R27" si="8">P18/O18</f>
        <v>212518.88387127517</v>
      </c>
    </row>
    <row r="19" spans="2:18" ht="18.600000000000001" customHeight="1">
      <c r="B19" s="189"/>
      <c r="C19" s="9" t="s">
        <v>175</v>
      </c>
      <c r="D19" s="82" t="s">
        <v>157</v>
      </c>
      <c r="E19" s="159" t="s">
        <v>177</v>
      </c>
      <c r="F19" s="159" t="s">
        <v>177</v>
      </c>
      <c r="G19" s="159" t="s">
        <v>176</v>
      </c>
      <c r="H19" s="159" t="s">
        <v>176</v>
      </c>
      <c r="I19" s="159" t="s">
        <v>176</v>
      </c>
      <c r="J19" s="84">
        <f t="shared" si="2"/>
        <v>1</v>
      </c>
      <c r="K19" s="84">
        <f t="shared" si="3"/>
        <v>1</v>
      </c>
      <c r="L19" s="84">
        <f t="shared" si="4"/>
        <v>1.02</v>
      </c>
      <c r="M19" s="84">
        <f t="shared" si="5"/>
        <v>1.1000000000000001</v>
      </c>
      <c r="N19" s="84">
        <f t="shared" si="6"/>
        <v>1.05</v>
      </c>
      <c r="O19" s="85">
        <f>EXP(SQRT((LN(J19)^2)+(LN(K19)^2)+(LN(L19)^2)+(LN(M19)^2)+(LN(N19)^2)))</f>
        <v>1.1150377561073679</v>
      </c>
      <c r="P19" s="93">
        <f>Backend!$K$7</f>
        <v>262800</v>
      </c>
      <c r="Q19" s="85">
        <f t="shared" si="7"/>
        <v>293031.92230501625</v>
      </c>
      <c r="R19" s="85">
        <f t="shared" si="8"/>
        <v>235687.08643323713</v>
      </c>
    </row>
    <row r="20" spans="2:18">
      <c r="B20" s="189"/>
      <c r="C20" s="9" t="s">
        <v>175</v>
      </c>
      <c r="D20" s="82" t="s">
        <v>158</v>
      </c>
      <c r="E20" s="159" t="s">
        <v>176</v>
      </c>
      <c r="F20" s="159" t="s">
        <v>177</v>
      </c>
      <c r="G20" s="159" t="s">
        <v>176</v>
      </c>
      <c r="H20" s="159" t="s">
        <v>176</v>
      </c>
      <c r="I20" s="159" t="s">
        <v>176</v>
      </c>
      <c r="J20" s="84">
        <f t="shared" si="2"/>
        <v>1.2</v>
      </c>
      <c r="K20" s="84">
        <f t="shared" si="3"/>
        <v>1</v>
      </c>
      <c r="L20" s="84">
        <f t="shared" si="4"/>
        <v>1.02</v>
      </c>
      <c r="M20" s="84">
        <f t="shared" si="5"/>
        <v>1.1000000000000001</v>
      </c>
      <c r="N20" s="84">
        <f t="shared" si="6"/>
        <v>1.05</v>
      </c>
      <c r="O20" s="85">
        <f t="shared" ref="O20:O27" si="9">EXP(SQRT((LN(J20)^2)+(LN(K20)^2)+(LN(L20)^2)+(LN(M20)^2)+(LN(N20)^2)))</f>
        <v>1.2365959919080913</v>
      </c>
      <c r="P20" s="93">
        <f>Backend!$K$7</f>
        <v>262800</v>
      </c>
      <c r="Q20" s="85">
        <f t="shared" si="7"/>
        <v>324977.42667344637</v>
      </c>
      <c r="R20" s="85">
        <f t="shared" si="8"/>
        <v>212518.88387127517</v>
      </c>
    </row>
    <row r="21" spans="2:18">
      <c r="B21" s="189"/>
      <c r="C21" s="9" t="s">
        <v>178</v>
      </c>
      <c r="D21" s="82" t="s">
        <v>159</v>
      </c>
      <c r="E21" s="159" t="s">
        <v>176</v>
      </c>
      <c r="F21" s="159" t="s">
        <v>177</v>
      </c>
      <c r="G21" s="159" t="s">
        <v>177</v>
      </c>
      <c r="H21" s="159" t="s">
        <v>177</v>
      </c>
      <c r="I21" s="159" t="s">
        <v>176</v>
      </c>
      <c r="J21" s="84">
        <f t="shared" si="2"/>
        <v>1.2</v>
      </c>
      <c r="K21" s="84">
        <f t="shared" si="3"/>
        <v>1</v>
      </c>
      <c r="L21" s="84">
        <f t="shared" si="4"/>
        <v>1</v>
      </c>
      <c r="M21" s="84">
        <f t="shared" si="5"/>
        <v>1</v>
      </c>
      <c r="N21" s="84">
        <f t="shared" si="6"/>
        <v>1.05</v>
      </c>
      <c r="O21" s="85">
        <f t="shared" si="9"/>
        <v>1.207723199572867</v>
      </c>
      <c r="P21" s="93">
        <f>-SUM(Backend!K21:K22)</f>
        <v>-235790</v>
      </c>
      <c r="Q21" s="85">
        <f>P21*O21</f>
        <v>-284769.05322728632</v>
      </c>
      <c r="R21" s="85">
        <f t="shared" si="8"/>
        <v>-195235.13341748455</v>
      </c>
    </row>
    <row r="22" spans="2:18">
      <c r="B22" s="189"/>
      <c r="C22" s="9" t="s">
        <v>178</v>
      </c>
      <c r="D22" s="83" t="s">
        <v>119</v>
      </c>
      <c r="E22" s="159" t="s">
        <v>179</v>
      </c>
      <c r="F22" s="159" t="s">
        <v>177</v>
      </c>
      <c r="G22" s="159" t="s">
        <v>179</v>
      </c>
      <c r="H22" s="159" t="s">
        <v>179</v>
      </c>
      <c r="I22" s="159" t="s">
        <v>179</v>
      </c>
      <c r="J22" s="84">
        <f t="shared" si="2"/>
        <v>1.5</v>
      </c>
      <c r="K22" s="84">
        <f t="shared" si="3"/>
        <v>1</v>
      </c>
      <c r="L22" s="84">
        <f t="shared" si="4"/>
        <v>1.05</v>
      </c>
      <c r="M22" s="84">
        <f t="shared" si="5"/>
        <v>1.2</v>
      </c>
      <c r="N22" s="84">
        <f t="shared" si="6"/>
        <v>1.1000000000000001</v>
      </c>
      <c r="O22" s="85">
        <f t="shared" si="9"/>
        <v>1.579775677111255</v>
      </c>
      <c r="P22" s="93">
        <f>-Backend!K25</f>
        <v>-147168</v>
      </c>
      <c r="Q22" s="85">
        <f t="shared" ref="Q22:Q27" si="10">P22*O22</f>
        <v>-232492.42684910918</v>
      </c>
      <c r="R22" s="85">
        <f t="shared" si="8"/>
        <v>-93157.529978628576</v>
      </c>
    </row>
    <row r="23" spans="2:18">
      <c r="B23" s="188" t="s">
        <v>180</v>
      </c>
      <c r="C23" s="9" t="s">
        <v>175</v>
      </c>
      <c r="D23" s="82" t="s">
        <v>156</v>
      </c>
      <c r="E23" s="159" t="s">
        <v>179</v>
      </c>
      <c r="F23" s="159" t="s">
        <v>179</v>
      </c>
      <c r="G23" s="159" t="s">
        <v>179</v>
      </c>
      <c r="H23" s="159" t="s">
        <v>179</v>
      </c>
      <c r="I23" s="159" t="s">
        <v>179</v>
      </c>
      <c r="J23" s="84">
        <f t="shared" si="2"/>
        <v>1.5</v>
      </c>
      <c r="K23" s="84">
        <f t="shared" si="3"/>
        <v>1.2</v>
      </c>
      <c r="L23" s="84">
        <f t="shared" si="4"/>
        <v>1.05</v>
      </c>
      <c r="M23" s="84">
        <f t="shared" si="5"/>
        <v>1.2</v>
      </c>
      <c r="N23" s="84">
        <f t="shared" si="6"/>
        <v>1.1000000000000001</v>
      </c>
      <c r="O23" s="85">
        <f t="shared" si="9"/>
        <v>1.6360573781545753</v>
      </c>
      <c r="P23" s="157">
        <f>Backend!K11</f>
        <v>1.8738231844330291E-2</v>
      </c>
      <c r="Q23" s="85">
        <f t="shared" si="10"/>
        <v>3.0656822462487587E-2</v>
      </c>
      <c r="R23" s="85">
        <f t="shared" si="8"/>
        <v>1.1453285254253409E-2</v>
      </c>
    </row>
    <row r="24" spans="2:18">
      <c r="B24" s="189"/>
      <c r="C24" s="9" t="s">
        <v>175</v>
      </c>
      <c r="D24" s="82" t="s">
        <v>157</v>
      </c>
      <c r="E24" s="159" t="s">
        <v>179</v>
      </c>
      <c r="F24" s="159" t="s">
        <v>179</v>
      </c>
      <c r="G24" s="159" t="s">
        <v>179</v>
      </c>
      <c r="H24" s="159" t="s">
        <v>179</v>
      </c>
      <c r="I24" s="159" t="s">
        <v>179</v>
      </c>
      <c r="J24" s="84">
        <f t="shared" si="2"/>
        <v>1.5</v>
      </c>
      <c r="K24" s="84">
        <f t="shared" si="3"/>
        <v>1.2</v>
      </c>
      <c r="L24" s="84">
        <f t="shared" si="4"/>
        <v>1.05</v>
      </c>
      <c r="M24" s="84">
        <f t="shared" si="5"/>
        <v>1.2</v>
      </c>
      <c r="N24" s="84">
        <f t="shared" si="6"/>
        <v>1.1000000000000001</v>
      </c>
      <c r="O24" s="85">
        <f t="shared" si="9"/>
        <v>1.6360573781545753</v>
      </c>
      <c r="P24" s="157">
        <f>Backend!K13</f>
        <v>2.6477368421052626E-3</v>
      </c>
      <c r="Q24" s="85">
        <f t="shared" si="10"/>
        <v>4.3318493959380103E-3</v>
      </c>
      <c r="R24" s="85">
        <f t="shared" si="8"/>
        <v>1.6183642930004277E-3</v>
      </c>
    </row>
    <row r="25" spans="2:18">
      <c r="B25" s="189"/>
      <c r="C25" s="9" t="s">
        <v>175</v>
      </c>
      <c r="D25" s="82" t="s">
        <v>158</v>
      </c>
      <c r="E25" s="159" t="s">
        <v>179</v>
      </c>
      <c r="F25" s="159" t="s">
        <v>179</v>
      </c>
      <c r="G25" s="159" t="s">
        <v>179</v>
      </c>
      <c r="H25" s="159" t="s">
        <v>179</v>
      </c>
      <c r="I25" s="159" t="s">
        <v>179</v>
      </c>
      <c r="J25" s="84">
        <f t="shared" si="2"/>
        <v>1.5</v>
      </c>
      <c r="K25" s="84">
        <f t="shared" si="3"/>
        <v>1.2</v>
      </c>
      <c r="L25" s="84">
        <f t="shared" si="4"/>
        <v>1.05</v>
      </c>
      <c r="M25" s="84">
        <f t="shared" si="5"/>
        <v>1.2</v>
      </c>
      <c r="N25" s="84">
        <f t="shared" si="6"/>
        <v>1.1000000000000001</v>
      </c>
      <c r="O25" s="85">
        <f t="shared" si="9"/>
        <v>1.6360573781545753</v>
      </c>
      <c r="P25" s="158">
        <f>Backend!K15</f>
        <v>1.0819798080389328E-5</v>
      </c>
      <c r="Q25" s="85">
        <f t="shared" si="10"/>
        <v>1.7701810479563669E-5</v>
      </c>
      <c r="R25" s="85">
        <f t="shared" si="8"/>
        <v>6.6133365643897782E-6</v>
      </c>
    </row>
    <row r="26" spans="2:18">
      <c r="B26" s="189"/>
      <c r="C26" s="9" t="s">
        <v>178</v>
      </c>
      <c r="D26" s="82" t="s">
        <v>159</v>
      </c>
      <c r="E26" s="159" t="s">
        <v>177</v>
      </c>
      <c r="F26" s="159" t="s">
        <v>177</v>
      </c>
      <c r="G26" s="159" t="s">
        <v>176</v>
      </c>
      <c r="H26" s="159" t="s">
        <v>176</v>
      </c>
      <c r="I26" s="159" t="s">
        <v>176</v>
      </c>
      <c r="J26" s="84">
        <f t="shared" si="2"/>
        <v>1</v>
      </c>
      <c r="K26" s="84">
        <f t="shared" si="3"/>
        <v>1</v>
      </c>
      <c r="L26" s="84">
        <f t="shared" si="4"/>
        <v>1.02</v>
      </c>
      <c r="M26" s="84">
        <f t="shared" si="5"/>
        <v>1.1000000000000001</v>
      </c>
      <c r="N26" s="84">
        <f t="shared" si="6"/>
        <v>1.05</v>
      </c>
      <c r="O26" s="85">
        <f t="shared" si="9"/>
        <v>1.1150377561073679</v>
      </c>
      <c r="P26" s="93">
        <f>Backend!E22</f>
        <v>0.21299999999999999</v>
      </c>
      <c r="Q26" s="85">
        <f t="shared" si="10"/>
        <v>0.23750304205086936</v>
      </c>
      <c r="R26" s="85">
        <f t="shared" si="8"/>
        <v>0.19102492165250953</v>
      </c>
    </row>
    <row r="27" spans="2:18">
      <c r="B27" s="190"/>
      <c r="C27" s="9" t="s">
        <v>178</v>
      </c>
      <c r="D27" s="83" t="s">
        <v>119</v>
      </c>
      <c r="E27" s="159" t="s">
        <v>177</v>
      </c>
      <c r="F27" s="159" t="s">
        <v>177</v>
      </c>
      <c r="G27" s="159" t="s">
        <v>176</v>
      </c>
      <c r="H27" s="159" t="s">
        <v>176</v>
      </c>
      <c r="I27" s="159" t="s">
        <v>176</v>
      </c>
      <c r="J27" s="84">
        <f t="shared" si="2"/>
        <v>1</v>
      </c>
      <c r="K27" s="84">
        <f t="shared" si="3"/>
        <v>1</v>
      </c>
      <c r="L27" s="84">
        <f t="shared" si="4"/>
        <v>1.02</v>
      </c>
      <c r="M27" s="84">
        <f t="shared" si="5"/>
        <v>1.1000000000000001</v>
      </c>
      <c r="N27" s="84">
        <f t="shared" si="6"/>
        <v>1.05</v>
      </c>
      <c r="O27" s="85">
        <f t="shared" si="9"/>
        <v>1.1150377561073679</v>
      </c>
      <c r="P27" s="93">
        <f>IF(Year=2024,ElecEF_UK_2024,IF(Year=2025,ElecEF_UK_2025,"No emission factor available"))</f>
        <v>0.24540000000000001</v>
      </c>
      <c r="Q27" s="85">
        <f t="shared" si="10"/>
        <v>0.27363026534874807</v>
      </c>
      <c r="R27" s="85">
        <f t="shared" si="8"/>
        <v>0.22008223367852509</v>
      </c>
    </row>
    <row r="28" spans="2:18">
      <c r="C28" s="18" t="s">
        <v>181</v>
      </c>
      <c r="E28" s="11" t="s">
        <v>182</v>
      </c>
      <c r="M28" s="2"/>
      <c r="N28" s="2"/>
      <c r="O28" s="2"/>
      <c r="P28" s="11" t="s">
        <v>183</v>
      </c>
    </row>
    <row r="29" spans="2:18" ht="19.5" customHeight="1">
      <c r="B29" s="1" t="s">
        <v>184</v>
      </c>
      <c r="M29" s="2"/>
      <c r="N29" s="2"/>
      <c r="O29" s="2"/>
      <c r="P29" s="2"/>
    </row>
    <row r="30" spans="2:18">
      <c r="M30" s="2"/>
      <c r="N30" s="2"/>
      <c r="O30" s="2"/>
      <c r="P30" s="2"/>
    </row>
    <row r="31" spans="2:18">
      <c r="B31" s="12" t="s">
        <v>185</v>
      </c>
      <c r="C31" s="13" t="s">
        <v>177</v>
      </c>
      <c r="D31" s="13" t="s">
        <v>176</v>
      </c>
      <c r="E31" s="13" t="s">
        <v>179</v>
      </c>
      <c r="F31" s="13" t="s">
        <v>186</v>
      </c>
      <c r="M31" s="2"/>
      <c r="N31" s="2"/>
      <c r="O31" s="2"/>
      <c r="P31" s="2"/>
    </row>
    <row r="32" spans="2:18" ht="97.5">
      <c r="B32" s="87" t="s">
        <v>187</v>
      </c>
      <c r="C32" s="15" t="s">
        <v>188</v>
      </c>
      <c r="D32" s="15" t="s">
        <v>189</v>
      </c>
      <c r="E32" s="15" t="s">
        <v>190</v>
      </c>
      <c r="F32" s="15" t="s">
        <v>191</v>
      </c>
      <c r="M32" s="2"/>
      <c r="N32" s="2"/>
      <c r="O32" s="2"/>
      <c r="P32" s="2"/>
    </row>
    <row r="33" spans="2:16" ht="55.15" customHeight="1">
      <c r="B33" s="14" t="s">
        <v>192</v>
      </c>
      <c r="C33" s="15" t="s">
        <v>193</v>
      </c>
      <c r="D33" s="15" t="s">
        <v>194</v>
      </c>
      <c r="E33" s="15" t="s">
        <v>195</v>
      </c>
      <c r="F33" s="15" t="s">
        <v>196</v>
      </c>
      <c r="M33" s="2"/>
      <c r="N33" s="2"/>
      <c r="O33" s="2"/>
      <c r="P33" s="2"/>
    </row>
    <row r="34" spans="2:16" ht="175.5">
      <c r="B34" s="14" t="s">
        <v>197</v>
      </c>
      <c r="C34" s="15" t="s">
        <v>198</v>
      </c>
      <c r="D34" s="15" t="s">
        <v>199</v>
      </c>
      <c r="E34" s="15" t="s">
        <v>200</v>
      </c>
      <c r="F34" s="15" t="s">
        <v>201</v>
      </c>
      <c r="M34" s="2"/>
      <c r="N34" s="2"/>
      <c r="O34" s="2"/>
      <c r="P34" s="2"/>
    </row>
    <row r="35" spans="2:16" ht="136.5">
      <c r="B35" s="14" t="s">
        <v>202</v>
      </c>
      <c r="C35" s="15" t="s">
        <v>203</v>
      </c>
      <c r="D35" s="15" t="s">
        <v>204</v>
      </c>
      <c r="E35" s="17" t="s">
        <v>205</v>
      </c>
      <c r="F35" s="15" t="s">
        <v>206</v>
      </c>
      <c r="M35" s="2"/>
      <c r="N35" s="2"/>
      <c r="O35" s="2"/>
      <c r="P35" s="2"/>
    </row>
    <row r="36" spans="2:16" ht="136.5">
      <c r="B36" s="14" t="s">
        <v>207</v>
      </c>
      <c r="C36" s="15" t="s">
        <v>208</v>
      </c>
      <c r="D36" s="15" t="s">
        <v>209</v>
      </c>
      <c r="E36" s="15" t="s">
        <v>210</v>
      </c>
      <c r="F36" s="15" t="s">
        <v>211</v>
      </c>
      <c r="M36" s="2"/>
      <c r="N36" s="2"/>
      <c r="O36" s="2"/>
      <c r="P36" s="2"/>
    </row>
    <row r="37" spans="2:16">
      <c r="B37" s="33" t="s">
        <v>212</v>
      </c>
      <c r="C37" s="3"/>
      <c r="D37" s="3"/>
      <c r="E37" s="3"/>
      <c r="F37" s="3"/>
      <c r="M37" s="2"/>
      <c r="N37" s="2"/>
      <c r="O37" s="2"/>
      <c r="P37" s="2"/>
    </row>
    <row r="38" spans="2:16">
      <c r="C38" s="3"/>
      <c r="D38" s="3"/>
      <c r="E38" s="3"/>
      <c r="F38" s="3"/>
    </row>
    <row r="39" spans="2:16">
      <c r="B39" s="12" t="s">
        <v>185</v>
      </c>
      <c r="C39" s="13" t="s">
        <v>177</v>
      </c>
      <c r="D39" s="13" t="s">
        <v>176</v>
      </c>
      <c r="E39" s="13" t="s">
        <v>179</v>
      </c>
      <c r="F39" s="13" t="s">
        <v>186</v>
      </c>
    </row>
    <row r="40" spans="2:16">
      <c r="B40" s="19" t="s">
        <v>213</v>
      </c>
      <c r="C40" s="20">
        <v>1</v>
      </c>
      <c r="D40" s="20">
        <v>1.1000000000000001</v>
      </c>
      <c r="E40" s="20">
        <v>1.2</v>
      </c>
      <c r="F40" s="20">
        <v>1.5</v>
      </c>
    </row>
    <row r="41" spans="2:16">
      <c r="B41" s="19" t="s">
        <v>172</v>
      </c>
      <c r="C41" s="20">
        <v>1</v>
      </c>
      <c r="D41" s="20">
        <v>1.05</v>
      </c>
      <c r="E41" s="20">
        <v>1.1000000000000001</v>
      </c>
      <c r="F41" s="20">
        <v>1.2</v>
      </c>
    </row>
    <row r="42" spans="2:16">
      <c r="B42" s="19" t="s">
        <v>214</v>
      </c>
      <c r="C42" s="20">
        <v>1</v>
      </c>
      <c r="D42" s="20">
        <v>1.1000000000000001</v>
      </c>
      <c r="E42" s="20">
        <v>1.2</v>
      </c>
      <c r="F42" s="20">
        <v>1.5</v>
      </c>
    </row>
    <row r="43" spans="2:16">
      <c r="B43" s="19" t="s">
        <v>215</v>
      </c>
      <c r="C43" s="20">
        <v>1</v>
      </c>
      <c r="D43" s="20">
        <v>1.02</v>
      </c>
      <c r="E43" s="20">
        <v>1.05</v>
      </c>
      <c r="F43" s="20">
        <v>1.1000000000000001</v>
      </c>
    </row>
    <row r="44" spans="2:16">
      <c r="B44" s="19" t="s">
        <v>216</v>
      </c>
      <c r="C44" s="20">
        <v>1</v>
      </c>
      <c r="D44" s="20">
        <v>1.2</v>
      </c>
      <c r="E44" s="20">
        <v>1.5</v>
      </c>
      <c r="F44" s="20">
        <v>2</v>
      </c>
    </row>
    <row r="45" spans="2:16">
      <c r="B45" s="2" t="s">
        <v>217</v>
      </c>
    </row>
  </sheetData>
  <mergeCells count="5">
    <mergeCell ref="P16:R16"/>
    <mergeCell ref="J16:O16"/>
    <mergeCell ref="E16:I16"/>
    <mergeCell ref="B18:B22"/>
    <mergeCell ref="B23:B27"/>
  </mergeCells>
  <conditionalFormatting sqref="B40:B44">
    <cfRule type="containsText" dxfId="7" priority="6" operator="containsText" text="Poor">
      <formula>NOT(ISERROR(SEARCH("Poor",B40)))</formula>
    </cfRule>
    <cfRule type="containsText" dxfId="6" priority="7" operator="containsText" text="Fair">
      <formula>NOT(ISERROR(SEARCH("Fair",B40)))</formula>
    </cfRule>
    <cfRule type="containsText" dxfId="5" priority="8" operator="containsText" text="Good ">
      <formula>NOT(ISERROR(SEARCH("Good ",B40)))</formula>
    </cfRule>
    <cfRule type="containsText" dxfId="4" priority="9" operator="containsText" text="Very Good">
      <formula>NOT(ISERROR(SEARCH("Very Good",B40)))</formula>
    </cfRule>
  </conditionalFormatting>
  <conditionalFormatting sqref="E18:I27">
    <cfRule type="cellIs" dxfId="3" priority="1" operator="equal">
      <formula>"Very Good"</formula>
    </cfRule>
    <cfRule type="containsText" dxfId="2" priority="2" operator="containsText" text="Poor">
      <formula>NOT(ISERROR(SEARCH("Poor",E18)))</formula>
    </cfRule>
    <cfRule type="containsText" dxfId="1" priority="3" operator="containsText" text="Fair">
      <formula>NOT(ISERROR(SEARCH("Fair",E18)))</formula>
    </cfRule>
    <cfRule type="cellIs" dxfId="0" priority="4" operator="equal">
      <formula>"Good"</formula>
    </cfRule>
  </conditionalFormatting>
  <dataValidations count="1">
    <dataValidation type="list" allowBlank="1" showInputMessage="1" showErrorMessage="1" sqref="E18:I27" xr:uid="{75F57B45-6707-492E-AEA5-D6B008CE4178}">
      <formula1>$C$31:$F$31</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DBCD9-403F-4B7F-A72F-4CF3D12C5F6A}">
  <sheetPr>
    <tabColor rgb="FFA6D9F7"/>
  </sheetPr>
  <dimension ref="B2:O15"/>
  <sheetViews>
    <sheetView showGridLines="0" zoomScale="85" zoomScaleNormal="85" workbookViewId="0"/>
  </sheetViews>
  <sheetFormatPr defaultColWidth="8.75" defaultRowHeight="19.5"/>
  <cols>
    <col min="1" max="1" width="5.125" style="2" customWidth="1"/>
    <col min="2" max="2" width="19.75" style="2" customWidth="1"/>
    <col min="3" max="3" width="16.625" style="2" customWidth="1"/>
    <col min="4" max="4" width="31.75" style="2" customWidth="1"/>
    <col min="5" max="5" width="14.375" style="2" customWidth="1"/>
    <col min="6" max="6" width="15.875" style="2" customWidth="1"/>
    <col min="7" max="7" width="19.25" style="2" customWidth="1"/>
    <col min="8" max="8" width="15.75" style="2" customWidth="1"/>
    <col min="9" max="9" width="14.125" style="2" customWidth="1"/>
    <col min="10" max="10" width="22.5" style="2" customWidth="1"/>
    <col min="11" max="11" width="17.125" style="2" customWidth="1"/>
    <col min="12" max="12" width="24.625" style="2" customWidth="1"/>
    <col min="13" max="13" width="24.875" style="2" customWidth="1"/>
    <col min="14" max="14" width="57" style="2" customWidth="1"/>
    <col min="15" max="16384" width="8.75" style="2"/>
  </cols>
  <sheetData>
    <row r="2" spans="2:15">
      <c r="B2" s="1" t="s">
        <v>218</v>
      </c>
    </row>
    <row r="3" spans="2:15">
      <c r="B3" s="2" t="s">
        <v>219</v>
      </c>
    </row>
    <row r="5" spans="2:15" ht="58.5">
      <c r="B5" s="34" t="s">
        <v>167</v>
      </c>
      <c r="C5" s="34" t="str">
        <f>'Uncertainty Analysis'!C17</f>
        <v>Impact effect</v>
      </c>
      <c r="D5" s="34" t="str">
        <f>'Uncertainty Analysis'!D17</f>
        <v>Description of effect</v>
      </c>
      <c r="E5" s="34" t="str">
        <f>'Uncertainty Analysis'!P17</f>
        <v>Input data</v>
      </c>
      <c r="F5" s="34" t="s">
        <v>220</v>
      </c>
      <c r="G5" s="34" t="s">
        <v>221</v>
      </c>
      <c r="H5" s="35" t="str">
        <f>'Uncertainty Analysis'!Q17</f>
        <v>Input data with SD (higher range)</v>
      </c>
      <c r="I5" s="35" t="str">
        <f>'Uncertainty Analysis'!R17</f>
        <v>Input data with SD (lower range)</v>
      </c>
      <c r="J5" s="34" t="s">
        <v>222</v>
      </c>
      <c r="K5" s="34" t="s">
        <v>223</v>
      </c>
      <c r="L5" s="34" t="s">
        <v>224</v>
      </c>
      <c r="M5" s="34" t="s">
        <v>225</v>
      </c>
      <c r="N5" s="34" t="s">
        <v>226</v>
      </c>
    </row>
    <row r="6" spans="2:15">
      <c r="B6" s="24" t="s">
        <v>227</v>
      </c>
      <c r="C6" s="24" t="str">
        <f>'Uncertainty Analysis'!C18</f>
        <v xml:space="preserve">1st order </v>
      </c>
      <c r="D6" s="24" t="str">
        <f>'Uncertainty Analysis'!D18</f>
        <v>Embodied emissions of heata units + components</v>
      </c>
      <c r="E6" s="36">
        <f>'Uncertainty Analysis'!P18</f>
        <v>262800</v>
      </c>
      <c r="F6" s="97">
        <v>-0.05</v>
      </c>
      <c r="G6" s="97">
        <v>0.05</v>
      </c>
      <c r="H6" s="98">
        <f>E6+(F6*E6)</f>
        <v>249660</v>
      </c>
      <c r="I6" s="99">
        <f>E6+(G6*E6)</f>
        <v>275940</v>
      </c>
      <c r="J6" s="99">
        <f>('Uncertainty Analysis'!$E$10*1000)-($E6*$E11)+(H6*$E11)</f>
        <v>-80961.44155270372</v>
      </c>
      <c r="K6" s="99">
        <f>('Uncertainty Analysis'!$E$10*1000)-($E6*$E11)+(I6*$E11)</f>
        <v>-80469.00081983472</v>
      </c>
      <c r="L6" s="100">
        <f>J6/(Calculator!$C$30*1000)-1</f>
        <v>3.0504824593899915E-3</v>
      </c>
      <c r="M6" s="100">
        <f>K6/(Calculator!$C$30*1000)-1</f>
        <v>-3.0504824593899915E-3</v>
      </c>
      <c r="N6" s="37" t="str">
        <f>D6&amp;" "&amp;B6&amp;" +"&amp;TEXT(G6,"0%")&amp;"/"&amp;TEXT(F6,"0%")</f>
        <v>Embodied emissions of heata units + components activity data +5%/-5%</v>
      </c>
      <c r="O6" s="38"/>
    </row>
    <row r="7" spans="2:15">
      <c r="B7" s="24" t="s">
        <v>227</v>
      </c>
      <c r="C7" s="24" t="str">
        <f>'Uncertainty Analysis'!C19</f>
        <v xml:space="preserve">1st order </v>
      </c>
      <c r="D7" s="24" t="str">
        <f>'Uncertainty Analysis'!D19</f>
        <v>Use-phase emissions of components</v>
      </c>
      <c r="E7" s="36">
        <f>'Uncertainty Analysis'!P19</f>
        <v>262800</v>
      </c>
      <c r="F7" s="97">
        <v>-0.05</v>
      </c>
      <c r="G7" s="97">
        <v>0.05</v>
      </c>
      <c r="H7" s="98">
        <f t="shared" ref="H7:H15" si="0">E7+(F7*E7)</f>
        <v>249660</v>
      </c>
      <c r="I7" s="99">
        <f t="shared" ref="I7:I15" si="1">E7+(G7*E7)</f>
        <v>275940</v>
      </c>
      <c r="J7" s="99">
        <f>('Uncertainty Analysis'!$E$10*1000)-($E7*$E12)+(H7*$E12)</f>
        <v>-80750.012448374488</v>
      </c>
      <c r="K7" s="99">
        <f>('Uncertainty Analysis'!$E$10*1000)-($E7*$E12)+(I7*$E12)</f>
        <v>-80680.429924163953</v>
      </c>
      <c r="L7" s="100">
        <f>J7/(Calculator!$C$30*1000)-1</f>
        <v>4.3103718968917626E-4</v>
      </c>
      <c r="M7" s="100">
        <f>K7/(Calculator!$C$30*1000)-1</f>
        <v>-4.3103718968917626E-4</v>
      </c>
      <c r="N7" s="37" t="str">
        <f t="shared" ref="N7:N15" si="2">D7&amp;" "&amp;B7&amp;" +"&amp;TEXT(G7,"0%")&amp;"/"&amp;TEXT(F7,"0%")</f>
        <v>Use-phase emissions of components activity data +5%/-5%</v>
      </c>
    </row>
    <row r="8" spans="2:15">
      <c r="B8" s="24" t="s">
        <v>227</v>
      </c>
      <c r="C8" s="24" t="str">
        <f>'Uncertainty Analysis'!C20</f>
        <v xml:space="preserve">1st order </v>
      </c>
      <c r="D8" s="24" t="str">
        <f>'Uncertainty Analysis'!D20</f>
        <v>End of life emissions of heata unit +components</v>
      </c>
      <c r="E8" s="36">
        <f>'Uncertainty Analysis'!P20</f>
        <v>262800</v>
      </c>
      <c r="F8" s="97">
        <v>-0.05</v>
      </c>
      <c r="G8" s="97">
        <v>0.05</v>
      </c>
      <c r="H8" s="98">
        <f t="shared" si="0"/>
        <v>249660</v>
      </c>
      <c r="I8" s="99">
        <f t="shared" si="1"/>
        <v>275940</v>
      </c>
      <c r="J8" s="99">
        <f>('Uncertainty Analysis'!$E$10*1000)-($E8*$E13)+(H8*$E13)</f>
        <v>-80715.363358415998</v>
      </c>
      <c r="K8" s="99">
        <f>('Uncertainty Analysis'!$E$10*1000)-($E8*$E13)+(I8*$E13)</f>
        <v>-80715.079014122442</v>
      </c>
      <c r="L8" s="100">
        <f>J8/(Calculator!$C$30*1000)-1</f>
        <v>1.7614044127700623E-6</v>
      </c>
      <c r="M8" s="100">
        <f>K8/(Calculator!$C$30*1000)-1</f>
        <v>-1.7614044127700623E-6</v>
      </c>
      <c r="N8" s="37" t="str">
        <f t="shared" si="2"/>
        <v>End of life emissions of heata unit +components activity data +5%/-5%</v>
      </c>
    </row>
    <row r="9" spans="2:15">
      <c r="B9" s="24" t="s">
        <v>227</v>
      </c>
      <c r="C9" s="24" t="str">
        <f>'Uncertainty Analysis'!C21</f>
        <v xml:space="preserve">2nd order </v>
      </c>
      <c r="D9" s="24" t="str">
        <f>'Uncertainty Analysis'!D21</f>
        <v>Avoided home hot water heating gas consumption</v>
      </c>
      <c r="E9" s="36">
        <f>'Uncertainty Analysis'!P21</f>
        <v>-235790</v>
      </c>
      <c r="F9" s="97">
        <v>-0.05</v>
      </c>
      <c r="G9" s="97">
        <v>0.05</v>
      </c>
      <c r="H9" s="98">
        <f t="shared" si="0"/>
        <v>-224000.5</v>
      </c>
      <c r="I9" s="99">
        <f t="shared" si="1"/>
        <v>-247579.5</v>
      </c>
      <c r="J9" s="99">
        <f>('Uncertainty Analysis'!$E$10*1000)-($E9*$E14)+(H9*$E14)</f>
        <v>-78204.057686269225</v>
      </c>
      <c r="K9" s="99">
        <f>('Uncertainty Analysis'!$E$10*1000)-($E9*$E14)+(I9*$E14)</f>
        <v>-83226.384686269215</v>
      </c>
      <c r="L9" s="100">
        <f>J9/(Calculator!$C$30*1000)-1</f>
        <v>-3.1111399598409029E-2</v>
      </c>
      <c r="M9" s="100">
        <f>K9/(Calculator!$C$30*1000)-1</f>
        <v>3.111139959840914E-2</v>
      </c>
      <c r="N9" s="37" t="str">
        <f t="shared" si="2"/>
        <v>Avoided home hot water heating gas consumption activity data +5%/-5%</v>
      </c>
    </row>
    <row r="10" spans="2:15">
      <c r="B10" s="24" t="s">
        <v>227</v>
      </c>
      <c r="C10" s="24" t="str">
        <f>'Uncertainty Analysis'!C22</f>
        <v xml:space="preserve">2nd order </v>
      </c>
      <c r="D10" s="24" t="str">
        <f>'Uncertainty Analysis'!D22</f>
        <v>Data centre cooling electricity consumption</v>
      </c>
      <c r="E10" s="36">
        <f>'Uncertainty Analysis'!P22</f>
        <v>-147168</v>
      </c>
      <c r="F10" s="97">
        <v>-0.05</v>
      </c>
      <c r="G10" s="97">
        <v>0.05</v>
      </c>
      <c r="H10" s="98">
        <f t="shared" si="0"/>
        <v>-139809.60000000001</v>
      </c>
      <c r="I10" s="99">
        <f t="shared" si="1"/>
        <v>-154526.39999999999</v>
      </c>
      <c r="J10" s="99">
        <f>('Uncertainty Analysis'!$E$10*1000)-($E10*$E15)+(H10*$E15)</f>
        <v>-78909.469826269225</v>
      </c>
      <c r="K10" s="99">
        <f>('Uncertainty Analysis'!$E$10*1000)-($E10*$E15)+(I10*$E15)</f>
        <v>-82520.972546269215</v>
      </c>
      <c r="L10" s="100">
        <f>J10/(Calculator!$C$30*1000)-1</f>
        <v>-2.2371881455082732E-2</v>
      </c>
      <c r="M10" s="100">
        <f>K10/(Calculator!$C$30*1000)-1</f>
        <v>2.2371881455082621E-2</v>
      </c>
      <c r="N10" s="37" t="str">
        <f t="shared" si="2"/>
        <v>Data centre cooling electricity consumption activity data +5%/-5%</v>
      </c>
    </row>
    <row r="11" spans="2:15">
      <c r="B11" s="24" t="s">
        <v>228</v>
      </c>
      <c r="C11" s="24" t="str">
        <f>'Uncertainty Analysis'!C23</f>
        <v xml:space="preserve">1st order </v>
      </c>
      <c r="D11" s="24" t="str">
        <f>'Uncertainty Analysis'!D23</f>
        <v>Embodied emissions of heata units + components</v>
      </c>
      <c r="E11" s="36">
        <f>'Uncertainty Analysis'!P23</f>
        <v>1.8738231844330291E-2</v>
      </c>
      <c r="F11" s="97">
        <v>-0.05</v>
      </c>
      <c r="G11" s="97">
        <v>0.05</v>
      </c>
      <c r="H11" s="98">
        <f t="shared" si="0"/>
        <v>1.7801320252113777E-2</v>
      </c>
      <c r="I11" s="99">
        <f t="shared" si="1"/>
        <v>1.9675143436546805E-2</v>
      </c>
      <c r="J11" s="99">
        <f>('Uncertainty Analysis'!$E$10*1000)-($E11*$E6)+(H11*$E6)</f>
        <v>-80961.44155270372</v>
      </c>
      <c r="K11" s="99">
        <f>('Uncertainty Analysis'!$E$10*1000)-($E11*$E6)+(I11*$E6)</f>
        <v>-80469.00081983472</v>
      </c>
      <c r="L11" s="100">
        <f>J11/(Calculator!$C$30*1000)-1</f>
        <v>3.0504824593899915E-3</v>
      </c>
      <c r="M11" s="100">
        <f>K11/(Calculator!$C$30*1000)-1</f>
        <v>-3.0504824593899915E-3</v>
      </c>
      <c r="N11" s="37" t="str">
        <f t="shared" si="2"/>
        <v>Embodied emissions of heata units + components emission factor +5%/-5%</v>
      </c>
    </row>
    <row r="12" spans="2:15">
      <c r="B12" s="24" t="s">
        <v>228</v>
      </c>
      <c r="C12" s="24" t="str">
        <f>'Uncertainty Analysis'!C24</f>
        <v xml:space="preserve">1st order </v>
      </c>
      <c r="D12" s="24" t="str">
        <f>'Uncertainty Analysis'!D24</f>
        <v>Use-phase emissions of components</v>
      </c>
      <c r="E12" s="36">
        <f>'Uncertainty Analysis'!P24</f>
        <v>2.6477368421052626E-3</v>
      </c>
      <c r="F12" s="97">
        <v>-0.05</v>
      </c>
      <c r="G12" s="97">
        <v>0.05</v>
      </c>
      <c r="H12" s="98">
        <f t="shared" si="0"/>
        <v>2.5153499999999995E-3</v>
      </c>
      <c r="I12" s="99">
        <f t="shared" si="1"/>
        <v>2.7801236842105257E-3</v>
      </c>
      <c r="J12" s="99">
        <f>('Uncertainty Analysis'!$E$10*1000)-($E12*$E7)+(H12*$E7)</f>
        <v>-80750.012448374488</v>
      </c>
      <c r="K12" s="99">
        <f>('Uncertainty Analysis'!$E$10*1000)-($E12*$E7)+(I12*$E7)</f>
        <v>-80680.429924163953</v>
      </c>
      <c r="L12" s="100">
        <f>J12/(Calculator!$C$30*1000)-1</f>
        <v>4.3103718968917626E-4</v>
      </c>
      <c r="M12" s="100">
        <f>K12/(Calculator!$C$30*1000)-1</f>
        <v>-4.3103718968917626E-4</v>
      </c>
      <c r="N12" s="37" t="str">
        <f t="shared" si="2"/>
        <v>Use-phase emissions of components emission factor +5%/-5%</v>
      </c>
    </row>
    <row r="13" spans="2:15">
      <c r="B13" s="24" t="s">
        <v>228</v>
      </c>
      <c r="C13" s="24" t="str">
        <f>'Uncertainty Analysis'!C25</f>
        <v xml:space="preserve">1st order </v>
      </c>
      <c r="D13" s="24" t="str">
        <f>'Uncertainty Analysis'!D25</f>
        <v>End of life emissions of heata unit +components</v>
      </c>
      <c r="E13" s="36">
        <f>'Uncertainty Analysis'!P25</f>
        <v>1.0819798080389328E-5</v>
      </c>
      <c r="F13" s="97">
        <v>-0.05</v>
      </c>
      <c r="G13" s="97">
        <v>0.05</v>
      </c>
      <c r="H13" s="98">
        <f t="shared" si="0"/>
        <v>1.0278808176369862E-5</v>
      </c>
      <c r="I13" s="99">
        <f t="shared" si="1"/>
        <v>1.1360787984408794E-5</v>
      </c>
      <c r="J13" s="99">
        <f>('Uncertainty Analysis'!$E$10*1000)-($E13*$E8)+(H13*$E8)</f>
        <v>-80715.363358415998</v>
      </c>
      <c r="K13" s="99">
        <f>('Uncertainty Analysis'!$E$10*1000)-($E13*$E8)+(I13*$E8)</f>
        <v>-80715.079014122442</v>
      </c>
      <c r="L13" s="100">
        <f>J13/(Calculator!$C$30*1000)-1</f>
        <v>1.7614044127700623E-6</v>
      </c>
      <c r="M13" s="100">
        <f>K13/(Calculator!$C$30*1000)-1</f>
        <v>-1.7614044127700623E-6</v>
      </c>
      <c r="N13" s="37" t="str">
        <f t="shared" si="2"/>
        <v>End of life emissions of heata unit +components emission factor +5%/-5%</v>
      </c>
    </row>
    <row r="14" spans="2:15">
      <c r="B14" s="24" t="s">
        <v>228</v>
      </c>
      <c r="C14" s="24" t="str">
        <f>'Uncertainty Analysis'!C26</f>
        <v xml:space="preserve">2nd order </v>
      </c>
      <c r="D14" s="24" t="str">
        <f>'Uncertainty Analysis'!D26</f>
        <v>Avoided home hot water heating gas consumption</v>
      </c>
      <c r="E14" s="36">
        <f>'Uncertainty Analysis'!P26</f>
        <v>0.21299999999999999</v>
      </c>
      <c r="F14" s="97">
        <v>-0.05</v>
      </c>
      <c r="G14" s="97">
        <v>0.05</v>
      </c>
      <c r="H14" s="98">
        <f t="shared" si="0"/>
        <v>0.20235</v>
      </c>
      <c r="I14" s="99">
        <f t="shared" si="1"/>
        <v>0.22364999999999999</v>
      </c>
      <c r="J14" s="99">
        <f>('Uncertainty Analysis'!$E$10*1000)-($E14*$E9)+(H14*$E9)</f>
        <v>-78204.057686269225</v>
      </c>
      <c r="K14" s="99">
        <f>('Uncertainty Analysis'!$E$10*1000)-($E14*$E9)+(I14*$E9)</f>
        <v>-83226.384686269215</v>
      </c>
      <c r="L14" s="100">
        <f>J14/(Calculator!$C$30*1000)-1</f>
        <v>-3.1111399598409029E-2</v>
      </c>
      <c r="M14" s="100">
        <f>K14/(Calculator!$C$30*1000)-1</f>
        <v>3.111139959840914E-2</v>
      </c>
      <c r="N14" s="37" t="str">
        <f t="shared" si="2"/>
        <v>Avoided home hot water heating gas consumption emission factor +5%/-5%</v>
      </c>
    </row>
    <row r="15" spans="2:15">
      <c r="B15" s="24" t="s">
        <v>228</v>
      </c>
      <c r="C15" s="24" t="str">
        <f>'Uncertainty Analysis'!C27</f>
        <v xml:space="preserve">2nd order </v>
      </c>
      <c r="D15" s="24" t="str">
        <f>'Uncertainty Analysis'!D27</f>
        <v>Data centre cooling electricity consumption</v>
      </c>
      <c r="E15" s="36">
        <f>'Uncertainty Analysis'!P27</f>
        <v>0.24540000000000001</v>
      </c>
      <c r="F15" s="97">
        <v>-0.05</v>
      </c>
      <c r="G15" s="97">
        <v>0.05</v>
      </c>
      <c r="H15" s="98">
        <f t="shared" si="0"/>
        <v>0.23313</v>
      </c>
      <c r="I15" s="99">
        <f t="shared" si="1"/>
        <v>0.25767000000000001</v>
      </c>
      <c r="J15" s="99">
        <f>('Uncertainty Analysis'!$E$10*1000)-($E15*$E10)+(H15*$E10)</f>
        <v>-78909.469826269225</v>
      </c>
      <c r="K15" s="99">
        <f>('Uncertainty Analysis'!$E$10*1000)-($E15*$E10)+(I15*$E10)</f>
        <v>-82520.972546269215</v>
      </c>
      <c r="L15" s="100">
        <f>J15/(Calculator!$C$30*1000)-1</f>
        <v>-2.2371881455082732E-2</v>
      </c>
      <c r="M15" s="100">
        <f>K15/(Calculator!$C$30*1000)-1</f>
        <v>2.2371881455082621E-2</v>
      </c>
      <c r="N15" s="37" t="str">
        <f t="shared" si="2"/>
        <v>Data centre cooling electricity consumption emission factor +5%/-5%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06324-C1F9-4FB6-95B7-331A7695238E}">
  <sheetPr>
    <tabColor rgb="FF183C73"/>
  </sheetPr>
  <dimension ref="A1:Q136"/>
  <sheetViews>
    <sheetView showGridLines="0" zoomScale="85" zoomScaleNormal="85" workbookViewId="0"/>
  </sheetViews>
  <sheetFormatPr defaultRowHeight="15"/>
  <cols>
    <col min="2" max="2" width="50" customWidth="1"/>
    <col min="3" max="3" width="40.125" customWidth="1"/>
    <col min="4" max="4" width="15" customWidth="1"/>
    <col min="5" max="5" width="16.125" customWidth="1"/>
    <col min="6" max="6" width="24.5" customWidth="1"/>
    <col min="7" max="7" width="22.375" customWidth="1"/>
    <col min="8" max="8" width="56.25" customWidth="1"/>
    <col min="9" max="10" width="16.125" customWidth="1"/>
    <col min="11" max="11" width="14.75" customWidth="1"/>
  </cols>
  <sheetData>
    <row r="1" spans="1:17" ht="8.25" customHeight="1">
      <c r="A1" s="58"/>
      <c r="B1" s="58"/>
      <c r="C1" s="58"/>
      <c r="D1" s="58"/>
    </row>
    <row r="2" spans="1:17" ht="25.5">
      <c r="A2" s="58"/>
      <c r="B2" s="59" t="s">
        <v>229</v>
      </c>
      <c r="C2" s="58"/>
      <c r="D2" s="58"/>
    </row>
    <row r="3" spans="1:17" ht="9.75" customHeight="1" thickBot="1">
      <c r="A3" s="58"/>
      <c r="B3" s="59"/>
      <c r="C3" s="58"/>
      <c r="D3" s="58"/>
    </row>
    <row r="4" spans="1:17" ht="19.5">
      <c r="A4" s="58"/>
      <c r="B4" s="60" t="s">
        <v>230</v>
      </c>
      <c r="C4" s="58"/>
      <c r="D4" s="58"/>
    </row>
    <row r="5" spans="1:17" ht="19.5">
      <c r="A5" s="58"/>
      <c r="B5" s="61" t="s">
        <v>231</v>
      </c>
      <c r="C5" s="58"/>
      <c r="D5" s="58"/>
    </row>
    <row r="6" spans="1:17" ht="20.25" thickBot="1">
      <c r="A6" s="58"/>
      <c r="B6" s="62" t="s">
        <v>54</v>
      </c>
      <c r="C6" s="58"/>
      <c r="D6" s="58"/>
    </row>
    <row r="7" spans="1:17">
      <c r="A7" s="58"/>
      <c r="B7" s="58"/>
      <c r="C7" s="58"/>
      <c r="D7" s="58"/>
    </row>
    <row r="8" spans="1:17" ht="19.5">
      <c r="A8" s="63"/>
      <c r="B8" s="64" t="s">
        <v>232</v>
      </c>
      <c r="C8" s="63"/>
      <c r="D8" s="63"/>
      <c r="E8" s="63"/>
      <c r="F8" s="63"/>
      <c r="G8" s="63"/>
      <c r="H8" s="63"/>
      <c r="I8" s="63"/>
      <c r="J8" s="63"/>
      <c r="K8" s="63"/>
      <c r="L8" s="63"/>
      <c r="M8" s="63"/>
      <c r="N8" s="63"/>
      <c r="O8" s="63"/>
      <c r="P8" s="63"/>
      <c r="Q8" s="63"/>
    </row>
    <row r="9" spans="1:17">
      <c r="A9" s="58"/>
      <c r="B9" s="58"/>
      <c r="C9" s="58"/>
      <c r="D9" s="58"/>
    </row>
    <row r="10" spans="1:17" ht="19.5">
      <c r="A10" s="58"/>
      <c r="B10" s="65" t="s">
        <v>233</v>
      </c>
      <c r="C10" s="58"/>
      <c r="D10" s="58"/>
    </row>
    <row r="11" spans="1:17">
      <c r="B11" s="58"/>
      <c r="C11" s="58"/>
      <c r="D11" s="58"/>
      <c r="E11" s="58"/>
      <c r="F11" s="58"/>
      <c r="G11" s="66"/>
      <c r="H11" s="66"/>
      <c r="I11" s="58"/>
      <c r="J11" s="58"/>
    </row>
    <row r="12" spans="1:17" ht="19.5">
      <c r="B12" s="65" t="s">
        <v>234</v>
      </c>
      <c r="C12" s="58"/>
      <c r="D12" s="58"/>
      <c r="E12" s="58"/>
      <c r="F12" s="58"/>
      <c r="G12" s="66"/>
      <c r="H12" s="66"/>
      <c r="I12" s="58"/>
      <c r="J12" s="58"/>
    </row>
    <row r="13" spans="1:17" ht="78.75" customHeight="1">
      <c r="B13" s="67" t="s">
        <v>235</v>
      </c>
      <c r="C13" s="67" t="s">
        <v>236</v>
      </c>
      <c r="D13" s="78" t="s">
        <v>237</v>
      </c>
      <c r="E13" s="67" t="s">
        <v>238</v>
      </c>
      <c r="F13" s="68" t="s">
        <v>239</v>
      </c>
      <c r="G13" s="69" t="s">
        <v>240</v>
      </c>
      <c r="H13" s="69" t="s">
        <v>241</v>
      </c>
      <c r="I13" s="69" t="s">
        <v>242</v>
      </c>
      <c r="J13" s="67" t="s">
        <v>243</v>
      </c>
    </row>
    <row r="14" spans="1:17" ht="19.5">
      <c r="B14" s="122" t="s">
        <v>244</v>
      </c>
      <c r="C14" s="115"/>
      <c r="D14" s="116"/>
      <c r="E14" s="117"/>
      <c r="F14" s="118"/>
      <c r="G14" s="119"/>
      <c r="H14" s="119"/>
      <c r="I14" s="120"/>
      <c r="J14" s="121"/>
    </row>
    <row r="15" spans="1:17" ht="19.5">
      <c r="B15" s="106" t="s">
        <v>245</v>
      </c>
      <c r="C15" s="72" t="s">
        <v>246</v>
      </c>
      <c r="D15" s="73">
        <v>2</v>
      </c>
      <c r="E15" s="73">
        <v>9.0999999999999998E-2</v>
      </c>
      <c r="F15" s="74" t="s">
        <v>247</v>
      </c>
      <c r="G15" s="71"/>
      <c r="H15" s="71" t="s">
        <v>116</v>
      </c>
      <c r="I15" s="80">
        <f>IF(H15="-- no weight data--","",INDEX(EF[Value],MATCH(H15,EF[Emission Factors],0))/1000)</f>
        <v>24.865479999999998</v>
      </c>
      <c r="J15" s="80">
        <f t="shared" ref="J15:J50" si="0">IFERROR((E15*I15*D15),"")</f>
        <v>4.5255173599999994</v>
      </c>
    </row>
    <row r="16" spans="1:17" ht="19.5">
      <c r="B16" s="106" t="s">
        <v>248</v>
      </c>
      <c r="C16" s="72" t="s">
        <v>249</v>
      </c>
      <c r="D16" s="73">
        <v>1</v>
      </c>
      <c r="E16" s="73">
        <v>0.08</v>
      </c>
      <c r="F16" s="76" t="s">
        <v>247</v>
      </c>
      <c r="G16" s="71"/>
      <c r="H16" s="71" t="s">
        <v>116</v>
      </c>
      <c r="I16" s="80">
        <f>IF(H16="-- no weight data--","",INDEX(EF[Value],MATCH(H16,EF[Emission Factors],0))/1000)</f>
        <v>24.865479999999998</v>
      </c>
      <c r="J16" s="80">
        <f t="shared" si="0"/>
        <v>1.9892383999999999</v>
      </c>
    </row>
    <row r="17" spans="2:13" ht="19.5">
      <c r="B17" s="106" t="s">
        <v>250</v>
      </c>
      <c r="C17" s="72" t="s">
        <v>251</v>
      </c>
      <c r="D17" s="73">
        <v>8</v>
      </c>
      <c r="E17" s="73">
        <v>0.1</v>
      </c>
      <c r="F17" s="74" t="s">
        <v>247</v>
      </c>
      <c r="G17" s="71"/>
      <c r="H17" s="71" t="s">
        <v>116</v>
      </c>
      <c r="I17" s="80">
        <f>IF(H17="-- no weight data--","",INDEX(EF[Value],MATCH(H17,EF[Emission Factors],0))/1000)</f>
        <v>24.865479999999998</v>
      </c>
      <c r="J17" s="80">
        <f t="shared" si="0"/>
        <v>19.892384</v>
      </c>
    </row>
    <row r="18" spans="2:13" ht="19.5">
      <c r="B18" s="106" t="s">
        <v>252</v>
      </c>
      <c r="C18" s="72" t="s">
        <v>253</v>
      </c>
      <c r="D18" s="73">
        <v>1</v>
      </c>
      <c r="E18" s="73">
        <v>1.36</v>
      </c>
      <c r="F18" s="74" t="s">
        <v>247</v>
      </c>
      <c r="G18" s="71"/>
      <c r="H18" s="71" t="s">
        <v>116</v>
      </c>
      <c r="I18" s="80">
        <f>IF(H18="-- no weight data--","",INDEX(EF[Value],MATCH(H18,EF[Emission Factors],0))/1000)</f>
        <v>24.865479999999998</v>
      </c>
      <c r="J18" s="80">
        <f t="shared" si="0"/>
        <v>33.817052799999999</v>
      </c>
    </row>
    <row r="19" spans="2:13" ht="19.5">
      <c r="B19" s="106" t="s">
        <v>254</v>
      </c>
      <c r="C19" s="72" t="s">
        <v>255</v>
      </c>
      <c r="D19" s="73">
        <v>1</v>
      </c>
      <c r="E19" s="73">
        <v>0.05</v>
      </c>
      <c r="F19" s="74" t="s">
        <v>247</v>
      </c>
      <c r="G19" s="71"/>
      <c r="H19" s="71" t="s">
        <v>116</v>
      </c>
      <c r="I19" s="80">
        <f>IF(H19="-- no weight data--","",INDEX(EF[Value],MATCH(H19,EF[Emission Factors],0))/1000)</f>
        <v>24.865479999999998</v>
      </c>
      <c r="J19" s="80">
        <f t="shared" si="0"/>
        <v>1.243274</v>
      </c>
    </row>
    <row r="20" spans="2:13" ht="19.5">
      <c r="B20" s="106" t="s">
        <v>256</v>
      </c>
      <c r="C20" s="72" t="s">
        <v>257</v>
      </c>
      <c r="D20" s="73">
        <v>1</v>
      </c>
      <c r="E20" s="73">
        <v>0.86199999999999999</v>
      </c>
      <c r="F20" s="74" t="s">
        <v>247</v>
      </c>
      <c r="G20" s="71"/>
      <c r="H20" s="71" t="s">
        <v>116</v>
      </c>
      <c r="I20" s="80">
        <f>IF(H20="-- no weight data--","",INDEX(EF[Value],MATCH(H20,EF[Emission Factors],0))/1000)</f>
        <v>24.865479999999998</v>
      </c>
      <c r="J20" s="80">
        <f t="shared" si="0"/>
        <v>21.434043759999998</v>
      </c>
    </row>
    <row r="21" spans="2:13" ht="19.5">
      <c r="B21" s="106" t="s">
        <v>258</v>
      </c>
      <c r="C21" s="72" t="s">
        <v>259</v>
      </c>
      <c r="D21" s="73">
        <v>0.03</v>
      </c>
      <c r="E21" s="73" t="s">
        <v>260</v>
      </c>
      <c r="F21" s="74" t="s">
        <v>247</v>
      </c>
      <c r="G21" s="71" t="s">
        <v>261</v>
      </c>
      <c r="H21" s="71" t="str">
        <f>"-- no weight data--"</f>
        <v>-- no weight data--</v>
      </c>
      <c r="I21" s="80" t="str">
        <f>IF(H21="-- no weight data--","",INDEX(EF[Value],MATCH(H21,EF[Emission Factors],0))/1000)</f>
        <v/>
      </c>
      <c r="J21" s="80" t="str">
        <f t="shared" si="0"/>
        <v/>
      </c>
      <c r="L21" s="107"/>
      <c r="M21" s="107"/>
    </row>
    <row r="22" spans="2:13" ht="39">
      <c r="B22" s="106" t="s">
        <v>262</v>
      </c>
      <c r="C22" s="72" t="s">
        <v>263</v>
      </c>
      <c r="D22" s="73">
        <v>1</v>
      </c>
      <c r="E22" s="73">
        <v>0.83799999999999997</v>
      </c>
      <c r="F22" s="74" t="s">
        <v>247</v>
      </c>
      <c r="G22" s="71"/>
      <c r="H22" s="71" t="s">
        <v>128</v>
      </c>
      <c r="I22" s="80">
        <f>IF(H22="-- no weight data--","",INDEX(EF[Value],MATCH(H22,EF[Emission Factors],0))/1000)</f>
        <v>3.8157800000000002</v>
      </c>
      <c r="J22" s="80">
        <f t="shared" si="0"/>
        <v>3.1976236400000002</v>
      </c>
      <c r="L22" s="107"/>
      <c r="M22" s="107"/>
    </row>
    <row r="23" spans="2:13" ht="19.5">
      <c r="B23" s="106" t="s">
        <v>264</v>
      </c>
      <c r="C23" s="72" t="s">
        <v>265</v>
      </c>
      <c r="D23" s="73">
        <v>1</v>
      </c>
      <c r="E23" s="108">
        <f>0.102*10</f>
        <v>1.02</v>
      </c>
      <c r="F23" s="111" t="s">
        <v>247</v>
      </c>
      <c r="G23" s="71"/>
      <c r="H23" s="71" t="s">
        <v>128</v>
      </c>
      <c r="I23" s="80">
        <f>IF(H23="-- no weight data--","",INDEX(EF[Value],MATCH(H23,EF[Emission Factors],0))/1000)</f>
        <v>3.8157800000000002</v>
      </c>
      <c r="J23" s="80">
        <f t="shared" si="0"/>
        <v>3.8920956000000002</v>
      </c>
      <c r="L23" s="107"/>
      <c r="M23" s="107"/>
    </row>
    <row r="24" spans="2:13" ht="19.5">
      <c r="B24" s="106" t="s">
        <v>266</v>
      </c>
      <c r="C24" s="72" t="s">
        <v>265</v>
      </c>
      <c r="D24" s="73">
        <v>2</v>
      </c>
      <c r="E24" s="108">
        <f>0.102*10</f>
        <v>1.02</v>
      </c>
      <c r="F24" s="112" t="s">
        <v>30</v>
      </c>
      <c r="G24" s="71" t="s">
        <v>267</v>
      </c>
      <c r="H24" s="71" t="s">
        <v>128</v>
      </c>
      <c r="I24" s="80">
        <f>IF(H24="-- no weight data--","",INDEX(EF[Value],MATCH(H24,EF[Emission Factors],0))/1000)</f>
        <v>3.8157800000000002</v>
      </c>
      <c r="J24" s="80">
        <f t="shared" si="0"/>
        <v>7.7841912000000004</v>
      </c>
      <c r="L24" s="107"/>
    </row>
    <row r="25" spans="2:13" ht="19.5">
      <c r="B25" s="106" t="s">
        <v>268</v>
      </c>
      <c r="C25" s="72" t="s">
        <v>265</v>
      </c>
      <c r="D25" s="73">
        <v>1</v>
      </c>
      <c r="E25" s="108">
        <f>0.102*10</f>
        <v>1.02</v>
      </c>
      <c r="F25" s="112" t="s">
        <v>30</v>
      </c>
      <c r="G25" s="71" t="s">
        <v>267</v>
      </c>
      <c r="H25" s="71" t="s">
        <v>128</v>
      </c>
      <c r="I25" s="80">
        <f>IF(H25="-- no weight data--","",INDEX(EF[Value],MATCH(H25,EF[Emission Factors],0))/1000)</f>
        <v>3.8157800000000002</v>
      </c>
      <c r="J25" s="80">
        <f t="shared" si="0"/>
        <v>3.8920956000000002</v>
      </c>
      <c r="L25" s="107"/>
    </row>
    <row r="26" spans="2:13" ht="19.5">
      <c r="B26" s="106" t="s">
        <v>269</v>
      </c>
      <c r="C26" s="72" t="s">
        <v>270</v>
      </c>
      <c r="D26" s="73">
        <v>1</v>
      </c>
      <c r="E26" s="108">
        <f>0.04*2.6</f>
        <v>0.10400000000000001</v>
      </c>
      <c r="F26" s="111" t="s">
        <v>247</v>
      </c>
      <c r="G26" s="71"/>
      <c r="H26" s="71" t="s">
        <v>128</v>
      </c>
      <c r="I26" s="80">
        <f>IF(H26="-- no weight data--","",INDEX(EF[Value],MATCH(H26,EF[Emission Factors],0))/1000)</f>
        <v>3.8157800000000002</v>
      </c>
      <c r="J26" s="80">
        <f t="shared" si="0"/>
        <v>0.39684112000000005</v>
      </c>
      <c r="L26" s="107"/>
      <c r="M26" s="107"/>
    </row>
    <row r="27" spans="2:13" ht="19.5">
      <c r="B27" s="106" t="s">
        <v>271</v>
      </c>
      <c r="C27" s="72" t="s">
        <v>272</v>
      </c>
      <c r="D27" s="73">
        <v>1</v>
      </c>
      <c r="E27" s="108" t="s">
        <v>260</v>
      </c>
      <c r="F27" s="113" t="s">
        <v>273</v>
      </c>
      <c r="G27" s="71" t="s">
        <v>261</v>
      </c>
      <c r="H27" s="71" t="str">
        <f t="shared" ref="H27:H33" si="1">"-- no weight data--"</f>
        <v>-- no weight data--</v>
      </c>
      <c r="I27" s="80" t="str">
        <f>IF(H27="-- no weight data--","",INDEX(EF[Value],MATCH(H27,EF[Emission Factors],0))/1000)</f>
        <v/>
      </c>
      <c r="J27" s="80" t="str">
        <f t="shared" si="0"/>
        <v/>
      </c>
      <c r="L27" s="107"/>
      <c r="M27" s="107"/>
    </row>
    <row r="28" spans="2:13" ht="30">
      <c r="B28" s="106" t="s">
        <v>274</v>
      </c>
      <c r="C28" s="72" t="s">
        <v>275</v>
      </c>
      <c r="D28" s="73">
        <v>2.5</v>
      </c>
      <c r="E28" s="73" t="s">
        <v>260</v>
      </c>
      <c r="F28" s="110" t="s">
        <v>276</v>
      </c>
      <c r="G28" s="71" t="s">
        <v>261</v>
      </c>
      <c r="H28" s="71" t="str">
        <f t="shared" si="1"/>
        <v>-- no weight data--</v>
      </c>
      <c r="I28" s="80" t="str">
        <f>IF(H28="-- no weight data--","",INDEX(EF[Value],MATCH(H28,EF[Emission Factors],0))/1000)</f>
        <v/>
      </c>
      <c r="J28" s="80" t="str">
        <f t="shared" si="0"/>
        <v/>
      </c>
      <c r="L28" s="107"/>
      <c r="M28" s="107"/>
    </row>
    <row r="29" spans="2:13" ht="19.5">
      <c r="B29" s="106" t="s">
        <v>277</v>
      </c>
      <c r="C29" s="72"/>
      <c r="D29" s="73">
        <v>15</v>
      </c>
      <c r="E29" s="73" t="s">
        <v>260</v>
      </c>
      <c r="F29" s="74" t="s">
        <v>247</v>
      </c>
      <c r="G29" s="71" t="s">
        <v>261</v>
      </c>
      <c r="H29" s="71" t="str">
        <f t="shared" si="1"/>
        <v>-- no weight data--</v>
      </c>
      <c r="I29" s="80" t="str">
        <f>IF(H29="-- no weight data--","",INDEX(EF[Value],MATCH(H29,EF[Emission Factors],0))/1000)</f>
        <v/>
      </c>
      <c r="J29" s="80" t="str">
        <f t="shared" si="0"/>
        <v/>
      </c>
      <c r="L29" s="107"/>
      <c r="M29" s="107"/>
    </row>
    <row r="30" spans="2:13" ht="19.5">
      <c r="B30" s="106" t="s">
        <v>278</v>
      </c>
      <c r="C30" s="72"/>
      <c r="D30" s="73">
        <v>15</v>
      </c>
      <c r="E30" s="73" t="s">
        <v>260</v>
      </c>
      <c r="F30" s="74" t="s">
        <v>247</v>
      </c>
      <c r="G30" s="71" t="s">
        <v>261</v>
      </c>
      <c r="H30" s="71" t="str">
        <f t="shared" si="1"/>
        <v>-- no weight data--</v>
      </c>
      <c r="I30" s="80" t="str">
        <f>IF(H30="-- no weight data--","",INDEX(EF[Value],MATCH(H30,EF[Emission Factors],0))/1000)</f>
        <v/>
      </c>
      <c r="J30" s="80" t="str">
        <f t="shared" si="0"/>
        <v/>
      </c>
      <c r="L30" s="107"/>
      <c r="M30" s="107"/>
    </row>
    <row r="31" spans="2:13" ht="19.5">
      <c r="B31" s="106" t="s">
        <v>279</v>
      </c>
      <c r="C31" s="72"/>
      <c r="D31" s="73">
        <v>3</v>
      </c>
      <c r="E31" s="73" t="s">
        <v>260</v>
      </c>
      <c r="F31" s="74" t="s">
        <v>247</v>
      </c>
      <c r="G31" s="71" t="s">
        <v>261</v>
      </c>
      <c r="H31" s="71" t="str">
        <f t="shared" si="1"/>
        <v>-- no weight data--</v>
      </c>
      <c r="I31" s="80" t="str">
        <f>IF(H31="-- no weight data--","",INDEX(EF[Value],MATCH(H31,EF[Emission Factors],0))/1000)</f>
        <v/>
      </c>
      <c r="J31" s="80" t="str">
        <f t="shared" si="0"/>
        <v/>
      </c>
      <c r="L31" s="107"/>
      <c r="M31" s="107"/>
    </row>
    <row r="32" spans="2:13" ht="19.5">
      <c r="B32" s="106" t="s">
        <v>280</v>
      </c>
      <c r="C32" s="72" t="s">
        <v>281</v>
      </c>
      <c r="D32" s="73">
        <v>1</v>
      </c>
      <c r="E32" s="73" t="s">
        <v>260</v>
      </c>
      <c r="F32" s="77" t="s">
        <v>282</v>
      </c>
      <c r="G32" s="71" t="s">
        <v>261</v>
      </c>
      <c r="H32" s="71" t="str">
        <f t="shared" si="1"/>
        <v>-- no weight data--</v>
      </c>
      <c r="I32" s="80" t="str">
        <f>IF(H32="-- no weight data--","",INDEX(EF[Value],MATCH(H32,EF[Emission Factors],0))/1000)</f>
        <v/>
      </c>
      <c r="J32" s="80" t="str">
        <f t="shared" si="0"/>
        <v/>
      </c>
      <c r="L32" s="107"/>
      <c r="M32" s="107"/>
    </row>
    <row r="33" spans="2:13" ht="19.5">
      <c r="B33" s="106" t="s">
        <v>283</v>
      </c>
      <c r="C33" s="72" t="s">
        <v>284</v>
      </c>
      <c r="D33" s="73">
        <v>1</v>
      </c>
      <c r="E33" s="73" t="s">
        <v>260</v>
      </c>
      <c r="F33" s="77" t="s">
        <v>282</v>
      </c>
      <c r="G33" s="71" t="s">
        <v>261</v>
      </c>
      <c r="H33" s="71" t="str">
        <f t="shared" si="1"/>
        <v>-- no weight data--</v>
      </c>
      <c r="I33" s="80" t="str">
        <f>IF(H33="-- no weight data--","",INDEX(EF[Value],MATCH(H33,EF[Emission Factors],0))/1000)</f>
        <v/>
      </c>
      <c r="J33" s="80" t="str">
        <f t="shared" si="0"/>
        <v/>
      </c>
      <c r="L33" s="107"/>
      <c r="M33" s="107"/>
    </row>
    <row r="34" spans="2:13" ht="19.5">
      <c r="B34" s="106" t="s">
        <v>285</v>
      </c>
      <c r="C34" s="72"/>
      <c r="D34" s="73">
        <v>0</v>
      </c>
      <c r="E34" s="73">
        <v>1.0999999999999999E-2</v>
      </c>
      <c r="F34" s="74" t="s">
        <v>247</v>
      </c>
      <c r="G34" s="71"/>
      <c r="H34" s="71" t="s">
        <v>116</v>
      </c>
      <c r="I34" s="80">
        <f>IF(H34="-- no weight data--","",INDEX(EF[Value],MATCH(H34,EF[Emission Factors],0))/1000)</f>
        <v>24.865479999999998</v>
      </c>
      <c r="J34" s="80">
        <f t="shared" si="0"/>
        <v>0</v>
      </c>
      <c r="L34" s="107"/>
      <c r="M34" s="107"/>
    </row>
    <row r="35" spans="2:13" ht="19.5">
      <c r="B35" s="106" t="s">
        <v>286</v>
      </c>
      <c r="C35" s="72"/>
      <c r="D35" s="73">
        <v>1</v>
      </c>
      <c r="E35" s="73">
        <v>1.0999999999999999E-2</v>
      </c>
      <c r="F35" s="74" t="s">
        <v>247</v>
      </c>
      <c r="G35" s="71" t="s">
        <v>287</v>
      </c>
      <c r="H35" s="71" t="s">
        <v>116</v>
      </c>
      <c r="I35" s="80">
        <f>IF(H35="-- no weight data--","",INDEX(EF[Value],MATCH(H35,EF[Emission Factors],0))/1000)</f>
        <v>24.865479999999998</v>
      </c>
      <c r="J35" s="80">
        <f t="shared" si="0"/>
        <v>0.27352027999999995</v>
      </c>
      <c r="L35" s="107"/>
      <c r="M35" s="107"/>
    </row>
    <row r="36" spans="2:13" ht="39">
      <c r="B36" s="106" t="s">
        <v>288</v>
      </c>
      <c r="C36" s="72" t="s">
        <v>289</v>
      </c>
      <c r="D36" s="73">
        <v>1</v>
      </c>
      <c r="E36" s="73">
        <v>0.09</v>
      </c>
      <c r="F36" s="77" t="s">
        <v>290</v>
      </c>
      <c r="G36" s="77"/>
      <c r="H36" s="71" t="s">
        <v>116</v>
      </c>
      <c r="I36" s="80">
        <f>IF(H36="-- no weight data--","",INDEX(EF[Value],MATCH(H36,EF[Emission Factors],0))/1000)</f>
        <v>24.865479999999998</v>
      </c>
      <c r="J36" s="80">
        <f t="shared" si="0"/>
        <v>2.2378931999999998</v>
      </c>
      <c r="L36" s="107"/>
      <c r="M36" s="107"/>
    </row>
    <row r="37" spans="2:13" ht="19.5">
      <c r="B37" s="106" t="s">
        <v>291</v>
      </c>
      <c r="C37" s="72"/>
      <c r="D37" s="73">
        <v>0.03</v>
      </c>
      <c r="E37" s="73" t="s">
        <v>260</v>
      </c>
      <c r="F37" s="74" t="s">
        <v>247</v>
      </c>
      <c r="G37" s="71" t="s">
        <v>261</v>
      </c>
      <c r="H37" s="71" t="str">
        <f>"-- no weight data--"</f>
        <v>-- no weight data--</v>
      </c>
      <c r="I37" s="80" t="str">
        <f>IF(H37="-- no weight data--","",INDEX(EF[Value],MATCH(H37,EF[Emission Factors],0))/1000)</f>
        <v/>
      </c>
      <c r="J37" s="80" t="str">
        <f t="shared" si="0"/>
        <v/>
      </c>
      <c r="L37" s="107"/>
      <c r="M37" s="107"/>
    </row>
    <row r="38" spans="2:13" ht="19.5">
      <c r="B38" s="106" t="s">
        <v>292</v>
      </c>
      <c r="C38" s="72" t="s">
        <v>293</v>
      </c>
      <c r="D38" s="73">
        <v>3</v>
      </c>
      <c r="E38" s="73" t="s">
        <v>260</v>
      </c>
      <c r="F38" s="74" t="s">
        <v>247</v>
      </c>
      <c r="G38" s="71" t="s">
        <v>261</v>
      </c>
      <c r="H38" s="71" t="str">
        <f>"-- no weight data--"</f>
        <v>-- no weight data--</v>
      </c>
      <c r="I38" s="80" t="str">
        <f>IF(H38="-- no weight data--","",INDEX(EF[Value],MATCH(H38,EF[Emission Factors],0))/1000)</f>
        <v/>
      </c>
      <c r="J38" s="80" t="str">
        <f t="shared" si="0"/>
        <v/>
      </c>
      <c r="L38" s="107"/>
      <c r="M38" s="107"/>
    </row>
    <row r="39" spans="2:13" ht="58.5">
      <c r="B39" s="106" t="s">
        <v>294</v>
      </c>
      <c r="C39" s="72" t="s">
        <v>295</v>
      </c>
      <c r="D39" s="73">
        <v>1</v>
      </c>
      <c r="E39" s="73">
        <v>0.04</v>
      </c>
      <c r="F39" s="169" t="s">
        <v>296</v>
      </c>
      <c r="G39" s="71"/>
      <c r="H39" s="71" t="s">
        <v>129</v>
      </c>
      <c r="I39" s="80">
        <f>IF(H39="-- no weight data--","",INDEX(EF[Value],MATCH(H39,EF[Emission Factors],0))/1000)</f>
        <v>9.1069200000000006</v>
      </c>
      <c r="J39" s="80">
        <f t="shared" si="0"/>
        <v>0.36427680000000001</v>
      </c>
      <c r="L39" s="107"/>
      <c r="M39" s="107"/>
    </row>
    <row r="40" spans="2:13" ht="19.5">
      <c r="B40" s="106" t="s">
        <v>297</v>
      </c>
      <c r="C40" s="72"/>
      <c r="D40" s="73"/>
      <c r="E40" s="73" t="s">
        <v>260</v>
      </c>
      <c r="F40" s="74" t="s">
        <v>247</v>
      </c>
      <c r="G40" s="71" t="s">
        <v>261</v>
      </c>
      <c r="H40" s="71" t="str">
        <f>"-- no weight data--"</f>
        <v>-- no weight data--</v>
      </c>
      <c r="I40" s="80" t="str">
        <f>IF(H40="-- no weight data--","",INDEX(EF[Value],MATCH(H40,EF[Emission Factors],0))/1000)</f>
        <v/>
      </c>
      <c r="J40" s="80" t="str">
        <f t="shared" si="0"/>
        <v/>
      </c>
    </row>
    <row r="41" spans="2:13" ht="19.5">
      <c r="B41" s="106" t="s">
        <v>298</v>
      </c>
      <c r="C41" s="72"/>
      <c r="D41" s="73"/>
      <c r="E41" s="73" t="s">
        <v>260</v>
      </c>
      <c r="F41" s="74" t="s">
        <v>247</v>
      </c>
      <c r="G41" s="71" t="s">
        <v>261</v>
      </c>
      <c r="H41" s="71" t="str">
        <f>"-- no weight data--"</f>
        <v>-- no weight data--</v>
      </c>
      <c r="I41" s="80" t="str">
        <f>IF(H41="-- no weight data--","",INDEX(EF[Value],MATCH(H41,EF[Emission Factors],0))/1000)</f>
        <v/>
      </c>
      <c r="J41" s="80" t="str">
        <f t="shared" si="0"/>
        <v/>
      </c>
    </row>
    <row r="42" spans="2:13" ht="19.5">
      <c r="B42" s="106" t="s">
        <v>299</v>
      </c>
      <c r="C42" s="72"/>
      <c r="D42" s="73">
        <v>2</v>
      </c>
      <c r="E42" s="73">
        <v>0.22</v>
      </c>
      <c r="F42" s="74" t="s">
        <v>247</v>
      </c>
      <c r="G42" s="71"/>
      <c r="H42" s="71" t="s">
        <v>121</v>
      </c>
      <c r="I42" s="80">
        <f>IF(H42="-- no weight data--","",INDEX(EF[Value],MATCH(H42,EF[Emission Factors],0))/1000)</f>
        <v>5.6479499999999998</v>
      </c>
      <c r="J42" s="80">
        <f t="shared" si="0"/>
        <v>2.4850979999999998</v>
      </c>
      <c r="L42" s="107"/>
      <c r="M42" s="107"/>
    </row>
    <row r="43" spans="2:13" ht="19.5">
      <c r="B43" s="106" t="s">
        <v>300</v>
      </c>
      <c r="C43" s="72" t="s">
        <v>301</v>
      </c>
      <c r="D43" s="73">
        <v>1</v>
      </c>
      <c r="E43" s="73">
        <v>0.02</v>
      </c>
      <c r="F43" s="74" t="s">
        <v>247</v>
      </c>
      <c r="G43" s="71"/>
      <c r="H43" s="71" t="s">
        <v>128</v>
      </c>
      <c r="I43" s="80">
        <f>IF(H43="-- no weight data--","",INDEX(EF[Value],MATCH(H43,EF[Emission Factors],0))/1000)</f>
        <v>3.8157800000000002</v>
      </c>
      <c r="J43" s="80">
        <f t="shared" si="0"/>
        <v>7.6315600000000011E-2</v>
      </c>
      <c r="L43" s="107"/>
      <c r="M43" s="107"/>
    </row>
    <row r="44" spans="2:13" ht="19.5">
      <c r="B44" s="106" t="s">
        <v>302</v>
      </c>
      <c r="C44" s="72" t="s">
        <v>303</v>
      </c>
      <c r="D44" s="73">
        <v>1</v>
      </c>
      <c r="E44" s="73">
        <v>0</v>
      </c>
      <c r="F44" s="74"/>
      <c r="G44" s="71" t="s">
        <v>304</v>
      </c>
      <c r="H44" s="71" t="s">
        <v>128</v>
      </c>
      <c r="I44" s="80">
        <f>IF(H44="-- no weight data--","",INDEX(EF[Value],MATCH(H44,EF[Emission Factors],0))/1000)</f>
        <v>3.8157800000000002</v>
      </c>
      <c r="J44" s="80">
        <f t="shared" si="0"/>
        <v>0</v>
      </c>
      <c r="L44" s="107"/>
      <c r="M44" s="107"/>
    </row>
    <row r="45" spans="2:13" ht="19.5">
      <c r="B45" s="106" t="s">
        <v>305</v>
      </c>
      <c r="C45" s="72"/>
      <c r="D45" s="73">
        <v>8</v>
      </c>
      <c r="E45" s="73" t="s">
        <v>260</v>
      </c>
      <c r="F45" s="74" t="s">
        <v>247</v>
      </c>
      <c r="G45" s="71" t="s">
        <v>261</v>
      </c>
      <c r="H45" s="71" t="str">
        <f>"-- no weight data--"</f>
        <v>-- no weight data--</v>
      </c>
      <c r="I45" s="80" t="str">
        <f>IF(H45="-- no weight data--","",INDEX(EF[Value],MATCH(H45,EF[Emission Factors],0))/1000)</f>
        <v/>
      </c>
      <c r="J45" s="80" t="str">
        <f t="shared" si="0"/>
        <v/>
      </c>
      <c r="L45" s="107"/>
      <c r="M45" s="107"/>
    </row>
    <row r="46" spans="2:13" ht="19.5">
      <c r="B46" s="106" t="s">
        <v>306</v>
      </c>
      <c r="C46" s="72"/>
      <c r="D46" s="73">
        <v>2</v>
      </c>
      <c r="E46" s="73" t="s">
        <v>260</v>
      </c>
      <c r="F46" s="74" t="s">
        <v>247</v>
      </c>
      <c r="G46" s="71" t="s">
        <v>261</v>
      </c>
      <c r="H46" s="71" t="str">
        <f>"-- no weight data--"</f>
        <v>-- no weight data--</v>
      </c>
      <c r="I46" s="80" t="str">
        <f>IF(H46="-- no weight data--","",INDEX(EF[Value],MATCH(H46,EF[Emission Factors],0))/1000)</f>
        <v/>
      </c>
      <c r="J46" s="80" t="str">
        <f t="shared" si="0"/>
        <v/>
      </c>
      <c r="L46" s="107"/>
      <c r="M46" s="107"/>
    </row>
    <row r="47" spans="2:13" ht="19.5">
      <c r="B47" s="106" t="s">
        <v>307</v>
      </c>
      <c r="C47" s="72"/>
      <c r="D47" s="73">
        <v>1</v>
      </c>
      <c r="E47" s="73" t="s">
        <v>260</v>
      </c>
      <c r="F47" s="74" t="s">
        <v>247</v>
      </c>
      <c r="G47" s="71" t="s">
        <v>261</v>
      </c>
      <c r="H47" s="71" t="str">
        <f>"-- no weight data--"</f>
        <v>-- no weight data--</v>
      </c>
      <c r="I47" s="80" t="str">
        <f>IF(H47="-- no weight data--","",INDEX(EF[Value],MATCH(H47,EF[Emission Factors],0))/1000)</f>
        <v/>
      </c>
      <c r="J47" s="80" t="str">
        <f t="shared" si="0"/>
        <v/>
      </c>
      <c r="L47" s="107"/>
      <c r="M47" s="107"/>
    </row>
    <row r="48" spans="2:13" ht="19.5">
      <c r="B48" s="106" t="s">
        <v>308</v>
      </c>
      <c r="C48" s="72"/>
      <c r="D48" s="73">
        <v>1</v>
      </c>
      <c r="E48" s="73" t="s">
        <v>260</v>
      </c>
      <c r="F48" s="74" t="s">
        <v>247</v>
      </c>
      <c r="G48" s="71" t="s">
        <v>261</v>
      </c>
      <c r="H48" s="71" t="str">
        <f>"-- no weight data--"</f>
        <v>-- no weight data--</v>
      </c>
      <c r="I48" s="80" t="str">
        <f>IF(H48="-- no weight data--","",INDEX(EF[Value],MATCH(H48,EF[Emission Factors],0))/1000)</f>
        <v/>
      </c>
      <c r="J48" s="80" t="str">
        <f t="shared" si="0"/>
        <v/>
      </c>
      <c r="L48" s="107"/>
      <c r="M48" s="107"/>
    </row>
    <row r="49" spans="2:13" ht="19.5">
      <c r="B49" s="106" t="s">
        <v>309</v>
      </c>
      <c r="C49" s="72"/>
      <c r="D49" s="73">
        <v>1</v>
      </c>
      <c r="E49" s="73" t="s">
        <v>260</v>
      </c>
      <c r="F49" s="74" t="s">
        <v>247</v>
      </c>
      <c r="G49" s="71" t="s">
        <v>261</v>
      </c>
      <c r="H49" s="71" t="str">
        <f>"-- no weight data--"</f>
        <v>-- no weight data--</v>
      </c>
      <c r="I49" s="80" t="str">
        <f>IF(H49="-- no weight data--","",INDEX(EF[Value],MATCH(H49,EF[Emission Factors],0))/1000)</f>
        <v/>
      </c>
      <c r="J49" s="80" t="str">
        <f t="shared" si="0"/>
        <v/>
      </c>
      <c r="L49" s="107"/>
      <c r="M49" s="107"/>
    </row>
    <row r="50" spans="2:13" ht="39">
      <c r="B50" s="106" t="s">
        <v>310</v>
      </c>
      <c r="C50" s="72" t="s">
        <v>311</v>
      </c>
      <c r="D50" s="73">
        <v>1</v>
      </c>
      <c r="E50" s="73">
        <v>1.274</v>
      </c>
      <c r="F50" s="169" t="s">
        <v>296</v>
      </c>
      <c r="G50" s="71"/>
      <c r="H50" s="71" t="s">
        <v>129</v>
      </c>
      <c r="I50" s="80">
        <f>IF(H50="-- no weight data--","",INDEX(EF[Value],MATCH(H50,EF[Emission Factors],0))/1000)</f>
        <v>9.1069200000000006</v>
      </c>
      <c r="J50" s="80">
        <f t="shared" si="0"/>
        <v>11.602216080000002</v>
      </c>
      <c r="L50" s="107"/>
      <c r="M50" s="107"/>
    </row>
    <row r="51" spans="2:13" ht="19.5">
      <c r="B51" s="122" t="s">
        <v>312</v>
      </c>
      <c r="C51" s="115"/>
      <c r="D51" s="116"/>
      <c r="E51" s="117"/>
      <c r="F51" s="118"/>
      <c r="G51" s="119"/>
      <c r="H51" s="119"/>
      <c r="I51" s="119"/>
      <c r="J51" s="121"/>
    </row>
    <row r="52" spans="2:13" ht="19.5">
      <c r="B52" s="106" t="s">
        <v>312</v>
      </c>
      <c r="C52" s="72" t="s">
        <v>313</v>
      </c>
      <c r="D52" s="73">
        <v>1</v>
      </c>
      <c r="E52" s="73">
        <v>1.4339999999999999</v>
      </c>
      <c r="F52" s="169" t="s">
        <v>296</v>
      </c>
      <c r="G52" s="71"/>
      <c r="H52" s="71" t="s">
        <v>129</v>
      </c>
      <c r="I52" s="80">
        <f>IF(H52="-- no weight data--","",INDEX(EF[Value],MATCH(H52,EF[Emission Factors],0))/1000)</f>
        <v>9.1069200000000006</v>
      </c>
      <c r="J52" s="80">
        <f>IFERROR((E52*I52*D52),"")</f>
        <v>13.059323280000001</v>
      </c>
      <c r="L52" s="107"/>
      <c r="M52" s="107"/>
    </row>
    <row r="53" spans="2:13" ht="19.5">
      <c r="B53" s="122" t="s">
        <v>314</v>
      </c>
      <c r="C53" s="115"/>
      <c r="D53" s="116"/>
      <c r="E53" s="117"/>
      <c r="F53" s="118"/>
      <c r="G53" s="119"/>
      <c r="H53" s="119"/>
      <c r="I53" s="119"/>
      <c r="J53" s="121"/>
    </row>
    <row r="54" spans="2:13" ht="39">
      <c r="B54" s="106" t="s">
        <v>314</v>
      </c>
      <c r="C54" s="72" t="s">
        <v>315</v>
      </c>
      <c r="D54" s="73">
        <v>1</v>
      </c>
      <c r="E54" s="73">
        <v>1.212</v>
      </c>
      <c r="F54" s="169" t="s">
        <v>296</v>
      </c>
      <c r="G54" s="71"/>
      <c r="H54" s="71" t="s">
        <v>129</v>
      </c>
      <c r="I54" s="80">
        <f>IF(H54="-- no weight data--","",INDEX(EF[Value],MATCH(H54,EF[Emission Factors],0))/1000)</f>
        <v>9.1069200000000006</v>
      </c>
      <c r="J54" s="80">
        <f>IFERROR((E54*I54*D54),"")</f>
        <v>11.03758704</v>
      </c>
      <c r="L54" s="107"/>
      <c r="M54" s="107"/>
    </row>
    <row r="55" spans="2:13" ht="19.5">
      <c r="B55" s="106" t="s">
        <v>316</v>
      </c>
      <c r="C55" s="72" t="s">
        <v>317</v>
      </c>
      <c r="D55" s="73">
        <v>2</v>
      </c>
      <c r="E55" s="73">
        <v>6.4000000000000001E-2</v>
      </c>
      <c r="F55" s="169" t="s">
        <v>296</v>
      </c>
      <c r="G55" s="71"/>
      <c r="H55" s="71" t="s">
        <v>128</v>
      </c>
      <c r="I55" s="80">
        <f>IF(H55="-- no weight data--","",INDEX(EF[Value],MATCH(H55,EF[Emission Factors],0))/1000)</f>
        <v>3.8157800000000002</v>
      </c>
      <c r="J55" s="80">
        <f>IFERROR((E55*I55*D55),"")</f>
        <v>0.48841984000000005</v>
      </c>
      <c r="L55" s="107"/>
      <c r="M55" s="107"/>
    </row>
    <row r="56" spans="2:13" ht="39">
      <c r="B56" s="106" t="s">
        <v>318</v>
      </c>
      <c r="C56" s="72" t="s">
        <v>319</v>
      </c>
      <c r="D56" s="73">
        <v>1</v>
      </c>
      <c r="E56" s="73" t="s">
        <v>260</v>
      </c>
      <c r="F56" s="74"/>
      <c r="G56" s="71" t="s">
        <v>261</v>
      </c>
      <c r="H56" s="71" t="str">
        <f>"-- no weight data--"</f>
        <v>-- no weight data--</v>
      </c>
      <c r="I56" s="80" t="str">
        <f>IF(H56="-- no weight data--","",INDEX(EF[Value],MATCH(H56,EF[Emission Factors],0))/1000)</f>
        <v/>
      </c>
      <c r="J56" s="80" t="str">
        <f>IFERROR((E56*I56*D56),"")</f>
        <v/>
      </c>
    </row>
    <row r="57" spans="2:13" ht="39">
      <c r="B57" s="106" t="s">
        <v>320</v>
      </c>
      <c r="C57" s="72" t="s">
        <v>321</v>
      </c>
      <c r="D57" s="73">
        <v>1</v>
      </c>
      <c r="E57" s="73">
        <v>0.05</v>
      </c>
      <c r="F57" s="74" t="s">
        <v>247</v>
      </c>
      <c r="G57" s="71"/>
      <c r="H57" s="71" t="s">
        <v>116</v>
      </c>
      <c r="I57" s="80">
        <f>IF(H57="-- no weight data--","",INDEX(EF[Value],MATCH(H57,EF[Emission Factors],0))/1000)</f>
        <v>24.865479999999998</v>
      </c>
      <c r="J57" s="80">
        <f>IFERROR((E57*I57*D57),"")</f>
        <v>1.243274</v>
      </c>
      <c r="L57" s="107"/>
      <c r="M57" s="107"/>
    </row>
    <row r="58" spans="2:13" ht="39">
      <c r="B58" s="106" t="s">
        <v>322</v>
      </c>
      <c r="C58" s="72" t="s">
        <v>323</v>
      </c>
      <c r="D58" s="73">
        <v>1</v>
      </c>
      <c r="E58" s="73">
        <v>0.05</v>
      </c>
      <c r="F58" s="109" t="s">
        <v>247</v>
      </c>
      <c r="G58" s="71"/>
      <c r="H58" s="71" t="s">
        <v>116</v>
      </c>
      <c r="I58" s="80">
        <f>IF(H58="-- no weight data--","",INDEX(EF[Value],MATCH(H58,EF[Emission Factors],0))/1000)</f>
        <v>24.865479999999998</v>
      </c>
      <c r="J58" s="80">
        <f>IFERROR((E58*I58*D58),"")</f>
        <v>1.243274</v>
      </c>
      <c r="L58" s="107"/>
      <c r="M58" s="107"/>
    </row>
    <row r="59" spans="2:13" ht="19.5">
      <c r="B59" s="122" t="s">
        <v>324</v>
      </c>
      <c r="C59" s="115"/>
      <c r="D59" s="116"/>
      <c r="E59" s="117"/>
      <c r="F59" s="118"/>
      <c r="G59" s="119"/>
      <c r="H59" s="119"/>
      <c r="I59" s="119"/>
      <c r="J59" s="121"/>
      <c r="L59" s="107"/>
      <c r="M59" s="107"/>
    </row>
    <row r="60" spans="2:13" ht="39">
      <c r="B60" s="106" t="s">
        <v>325</v>
      </c>
      <c r="C60" s="72" t="s">
        <v>326</v>
      </c>
      <c r="D60" s="73">
        <v>1</v>
      </c>
      <c r="E60" s="73">
        <v>1.3680000000000001</v>
      </c>
      <c r="F60" s="169" t="s">
        <v>296</v>
      </c>
      <c r="G60" s="71"/>
      <c r="H60" s="71" t="s">
        <v>128</v>
      </c>
      <c r="I60" s="80">
        <f>IF(H60="-- no weight data--","",INDEX(EF[Value],MATCH(H60,EF[Emission Factors],0))/1000)</f>
        <v>3.8157800000000002</v>
      </c>
      <c r="J60" s="80">
        <f t="shared" ref="J60:J85" si="2">IFERROR((E60*I60*D60),"")</f>
        <v>5.2199870400000004</v>
      </c>
      <c r="L60" s="107"/>
      <c r="M60" s="107"/>
    </row>
    <row r="61" spans="2:13" ht="19.5">
      <c r="B61" s="106" t="s">
        <v>327</v>
      </c>
      <c r="C61" s="72"/>
      <c r="D61" s="73">
        <v>0.5</v>
      </c>
      <c r="E61" s="73" t="s">
        <v>260</v>
      </c>
      <c r="F61" s="74" t="s">
        <v>247</v>
      </c>
      <c r="G61" s="71" t="s">
        <v>261</v>
      </c>
      <c r="H61" s="71" t="str">
        <f t="shared" ref="H61:H73" si="3">"-- no weight data--"</f>
        <v>-- no weight data--</v>
      </c>
      <c r="I61" s="80" t="str">
        <f>IF(H61="-- no weight data--","",INDEX(EF[Value],MATCH(H61,EF[Emission Factors],0))/1000)</f>
        <v/>
      </c>
      <c r="J61" s="80" t="str">
        <f t="shared" si="2"/>
        <v/>
      </c>
      <c r="L61" s="107"/>
      <c r="M61" s="107"/>
    </row>
    <row r="62" spans="2:13" ht="19.5">
      <c r="B62" s="106" t="s">
        <v>328</v>
      </c>
      <c r="C62" s="72"/>
      <c r="D62" s="73">
        <v>1</v>
      </c>
      <c r="E62" s="73" t="s">
        <v>260</v>
      </c>
      <c r="F62" s="74" t="s">
        <v>247</v>
      </c>
      <c r="G62" s="71" t="s">
        <v>261</v>
      </c>
      <c r="H62" s="71" t="str">
        <f t="shared" si="3"/>
        <v>-- no weight data--</v>
      </c>
      <c r="I62" s="80" t="str">
        <f>IF(H62="-- no weight data--","",INDEX(EF[Value],MATCH(H62,EF[Emission Factors],0))/1000)</f>
        <v/>
      </c>
      <c r="J62" s="80" t="str">
        <f t="shared" si="2"/>
        <v/>
      </c>
      <c r="L62" s="107"/>
      <c r="M62" s="107"/>
    </row>
    <row r="63" spans="2:13" ht="19.5">
      <c r="B63" s="106" t="s">
        <v>329</v>
      </c>
      <c r="C63" s="72"/>
      <c r="D63" s="73">
        <v>14</v>
      </c>
      <c r="E63" s="73" t="s">
        <v>260</v>
      </c>
      <c r="F63" s="74" t="s">
        <v>247</v>
      </c>
      <c r="G63" s="71" t="s">
        <v>261</v>
      </c>
      <c r="H63" s="71" t="str">
        <f t="shared" si="3"/>
        <v>-- no weight data--</v>
      </c>
      <c r="I63" s="80" t="str">
        <f>IF(H63="-- no weight data--","",INDEX(EF[Value],MATCH(H63,EF[Emission Factors],0))/1000)</f>
        <v/>
      </c>
      <c r="J63" s="80" t="str">
        <f t="shared" si="2"/>
        <v/>
      </c>
      <c r="L63" s="107"/>
      <c r="M63" s="107"/>
    </row>
    <row r="64" spans="2:13" ht="19.5">
      <c r="B64" s="106" t="s">
        <v>330</v>
      </c>
      <c r="C64" s="72" t="s">
        <v>331</v>
      </c>
      <c r="D64" s="73">
        <v>2</v>
      </c>
      <c r="E64" s="73" t="s">
        <v>260</v>
      </c>
      <c r="F64" s="74" t="s">
        <v>247</v>
      </c>
      <c r="G64" s="71" t="s">
        <v>261</v>
      </c>
      <c r="H64" s="71" t="str">
        <f t="shared" si="3"/>
        <v>-- no weight data--</v>
      </c>
      <c r="I64" s="80" t="str">
        <f>IF(H64="-- no weight data--","",INDEX(EF[Value],MATCH(H64,EF[Emission Factors],0))/1000)</f>
        <v/>
      </c>
      <c r="J64" s="80" t="str">
        <f t="shared" si="2"/>
        <v/>
      </c>
      <c r="L64" s="107"/>
      <c r="M64" s="107"/>
    </row>
    <row r="65" spans="2:13" ht="19.5">
      <c r="B65" s="106" t="s">
        <v>332</v>
      </c>
      <c r="C65" s="72" t="s">
        <v>333</v>
      </c>
      <c r="D65" s="73">
        <v>1</v>
      </c>
      <c r="E65" s="73" t="s">
        <v>260</v>
      </c>
      <c r="F65" s="74" t="s">
        <v>247</v>
      </c>
      <c r="G65" s="71" t="s">
        <v>261</v>
      </c>
      <c r="H65" s="71" t="str">
        <f t="shared" si="3"/>
        <v>-- no weight data--</v>
      </c>
      <c r="I65" s="80" t="str">
        <f>IF(H65="-- no weight data--","",INDEX(EF[Value],MATCH(H65,EF[Emission Factors],0))/1000)</f>
        <v/>
      </c>
      <c r="J65" s="80" t="str">
        <f t="shared" si="2"/>
        <v/>
      </c>
      <c r="L65" s="107"/>
      <c r="M65" s="107"/>
    </row>
    <row r="66" spans="2:13" ht="19.5">
      <c r="B66" s="106" t="s">
        <v>334</v>
      </c>
      <c r="C66" s="72" t="s">
        <v>333</v>
      </c>
      <c r="D66" s="73">
        <v>0.01</v>
      </c>
      <c r="E66" s="73" t="s">
        <v>260</v>
      </c>
      <c r="F66" s="74" t="s">
        <v>247</v>
      </c>
      <c r="G66" s="71" t="s">
        <v>261</v>
      </c>
      <c r="H66" s="71" t="str">
        <f t="shared" si="3"/>
        <v>-- no weight data--</v>
      </c>
      <c r="I66" s="80" t="str">
        <f>IF(H66="-- no weight data--","",INDEX(EF[Value],MATCH(H66,EF[Emission Factors],0))/1000)</f>
        <v/>
      </c>
      <c r="J66" s="80" t="str">
        <f t="shared" si="2"/>
        <v/>
      </c>
      <c r="L66" s="107"/>
      <c r="M66" s="107"/>
    </row>
    <row r="67" spans="2:13" ht="19.5">
      <c r="B67" s="106" t="s">
        <v>335</v>
      </c>
      <c r="C67" s="72" t="s">
        <v>336</v>
      </c>
      <c r="D67" s="73">
        <v>5</v>
      </c>
      <c r="E67" s="73" t="s">
        <v>260</v>
      </c>
      <c r="F67" s="74" t="s">
        <v>247</v>
      </c>
      <c r="G67" s="71" t="s">
        <v>261</v>
      </c>
      <c r="H67" s="71" t="str">
        <f t="shared" si="3"/>
        <v>-- no weight data--</v>
      </c>
      <c r="I67" s="80" t="str">
        <f>IF(H67="-- no weight data--","",INDEX(EF[Value],MATCH(H67,EF[Emission Factors],0))/1000)</f>
        <v/>
      </c>
      <c r="J67" s="80" t="str">
        <f t="shared" si="2"/>
        <v/>
      </c>
      <c r="L67" s="107"/>
      <c r="M67" s="107"/>
    </row>
    <row r="68" spans="2:13" ht="19.5">
      <c r="B68" s="106" t="s">
        <v>337</v>
      </c>
      <c r="C68" s="72"/>
      <c r="D68" s="73">
        <v>1</v>
      </c>
      <c r="E68" s="73" t="s">
        <v>260</v>
      </c>
      <c r="F68" s="74" t="s">
        <v>247</v>
      </c>
      <c r="G68" s="71" t="s">
        <v>261</v>
      </c>
      <c r="H68" s="71" t="str">
        <f t="shared" si="3"/>
        <v>-- no weight data--</v>
      </c>
      <c r="I68" s="80" t="str">
        <f>IF(H68="-- no weight data--","",INDEX(EF[Value],MATCH(H68,EF[Emission Factors],0))/1000)</f>
        <v/>
      </c>
      <c r="J68" s="80" t="str">
        <f t="shared" si="2"/>
        <v/>
      </c>
      <c r="L68" s="107"/>
      <c r="M68" s="107"/>
    </row>
    <row r="69" spans="2:13" ht="19.5">
      <c r="B69" s="106" t="s">
        <v>338</v>
      </c>
      <c r="C69" s="72" t="s">
        <v>339</v>
      </c>
      <c r="D69" s="73">
        <v>7</v>
      </c>
      <c r="E69" s="73" t="s">
        <v>260</v>
      </c>
      <c r="F69" s="74" t="s">
        <v>247</v>
      </c>
      <c r="G69" s="71" t="s">
        <v>261</v>
      </c>
      <c r="H69" s="71" t="str">
        <f t="shared" si="3"/>
        <v>-- no weight data--</v>
      </c>
      <c r="I69" s="80" t="str">
        <f>IF(H69="-- no weight data--","",INDEX(EF[Value],MATCH(H69,EF[Emission Factors],0))/1000)</f>
        <v/>
      </c>
      <c r="J69" s="80" t="str">
        <f t="shared" si="2"/>
        <v/>
      </c>
      <c r="L69" s="107"/>
      <c r="M69" s="107"/>
    </row>
    <row r="70" spans="2:13" ht="19.5">
      <c r="B70" s="106" t="s">
        <v>340</v>
      </c>
      <c r="C70" s="72" t="s">
        <v>341</v>
      </c>
      <c r="D70" s="73">
        <v>4.4999999999999998E-2</v>
      </c>
      <c r="E70" s="73" t="s">
        <v>260</v>
      </c>
      <c r="F70" s="74" t="s">
        <v>247</v>
      </c>
      <c r="G70" s="71" t="s">
        <v>261</v>
      </c>
      <c r="H70" s="71" t="str">
        <f t="shared" si="3"/>
        <v>-- no weight data--</v>
      </c>
      <c r="I70" s="80" t="str">
        <f>IF(H70="-- no weight data--","",INDEX(EF[Value],MATCH(H70,EF[Emission Factors],0))/1000)</f>
        <v/>
      </c>
      <c r="J70" s="80" t="str">
        <f t="shared" si="2"/>
        <v/>
      </c>
      <c r="L70" s="107"/>
      <c r="M70" s="107"/>
    </row>
    <row r="71" spans="2:13" ht="19.5">
      <c r="B71" s="106" t="s">
        <v>342</v>
      </c>
      <c r="C71" s="72" t="s">
        <v>343</v>
      </c>
      <c r="D71" s="73">
        <v>1</v>
      </c>
      <c r="E71" s="73" t="s">
        <v>260</v>
      </c>
      <c r="F71" s="74"/>
      <c r="G71" s="71" t="s">
        <v>261</v>
      </c>
      <c r="H71" s="71" t="str">
        <f t="shared" si="3"/>
        <v>-- no weight data--</v>
      </c>
      <c r="I71" s="80" t="str">
        <f>IF(H71="-- no weight data--","",INDEX(EF[Value],MATCH(H71,EF[Emission Factors],0))/1000)</f>
        <v/>
      </c>
      <c r="J71" s="80" t="str">
        <f t="shared" si="2"/>
        <v/>
      </c>
    </row>
    <row r="72" spans="2:13" ht="19.5">
      <c r="B72" s="106" t="s">
        <v>344</v>
      </c>
      <c r="C72" s="72" t="s">
        <v>345</v>
      </c>
      <c r="D72" s="73">
        <v>2</v>
      </c>
      <c r="E72" s="73" t="s">
        <v>260</v>
      </c>
      <c r="F72" s="74" t="s">
        <v>247</v>
      </c>
      <c r="G72" s="71" t="s">
        <v>261</v>
      </c>
      <c r="H72" s="71" t="str">
        <f t="shared" si="3"/>
        <v>-- no weight data--</v>
      </c>
      <c r="I72" s="80" t="str">
        <f>IF(H72="-- no weight data--","",INDEX(EF[Value],MATCH(H72,EF[Emission Factors],0))/1000)</f>
        <v/>
      </c>
      <c r="J72" s="80" t="str">
        <f t="shared" si="2"/>
        <v/>
      </c>
      <c r="L72" s="107"/>
      <c r="M72" s="107"/>
    </row>
    <row r="73" spans="2:13" ht="39">
      <c r="B73" s="106" t="s">
        <v>346</v>
      </c>
      <c r="C73" s="72" t="s">
        <v>347</v>
      </c>
      <c r="D73" s="73">
        <v>1</v>
      </c>
      <c r="E73" s="73" t="s">
        <v>260</v>
      </c>
      <c r="F73" s="74" t="s">
        <v>247</v>
      </c>
      <c r="G73" s="71" t="s">
        <v>261</v>
      </c>
      <c r="H73" s="71" t="str">
        <f t="shared" si="3"/>
        <v>-- no weight data--</v>
      </c>
      <c r="I73" s="80" t="str">
        <f>IF(H73="-- no weight data--","",INDEX(EF[Value],MATCH(H73,EF[Emission Factors],0))/1000)</f>
        <v/>
      </c>
      <c r="J73" s="80" t="str">
        <f t="shared" si="2"/>
        <v/>
      </c>
      <c r="L73" s="107"/>
      <c r="M73" s="107"/>
    </row>
    <row r="74" spans="2:13" ht="39">
      <c r="B74" s="106" t="s">
        <v>348</v>
      </c>
      <c r="C74" s="72" t="s">
        <v>349</v>
      </c>
      <c r="D74" s="73">
        <v>4</v>
      </c>
      <c r="E74" s="73">
        <v>0.28999999999999998</v>
      </c>
      <c r="F74" s="74" t="s">
        <v>247</v>
      </c>
      <c r="G74" s="71"/>
      <c r="H74" s="71" t="s">
        <v>116</v>
      </c>
      <c r="I74" s="80">
        <f>IF(H74="-- no weight data--","",INDEX(EF[Value],MATCH(H74,EF[Emission Factors],0))/1000)</f>
        <v>24.865479999999998</v>
      </c>
      <c r="J74" s="80">
        <f t="shared" si="2"/>
        <v>28.843956799999997</v>
      </c>
      <c r="L74" s="107"/>
      <c r="M74" s="107"/>
    </row>
    <row r="75" spans="2:13" ht="19.5">
      <c r="B75" s="106" t="s">
        <v>350</v>
      </c>
      <c r="C75" s="72"/>
      <c r="D75" s="73">
        <v>4</v>
      </c>
      <c r="E75" s="73" t="s">
        <v>260</v>
      </c>
      <c r="F75" s="74" t="s">
        <v>247</v>
      </c>
      <c r="G75" s="71" t="s">
        <v>261</v>
      </c>
      <c r="H75" s="71" t="str">
        <f t="shared" ref="H75:H80" si="4">"-- no weight data--"</f>
        <v>-- no weight data--</v>
      </c>
      <c r="I75" s="80" t="str">
        <f>IF(H75="-- no weight data--","",INDEX(EF[Value],MATCH(H75,EF[Emission Factors],0))/1000)</f>
        <v/>
      </c>
      <c r="J75" s="80" t="str">
        <f t="shared" si="2"/>
        <v/>
      </c>
      <c r="L75" s="107"/>
      <c r="M75" s="107"/>
    </row>
    <row r="76" spans="2:13" ht="19.5">
      <c r="B76" s="106" t="s">
        <v>351</v>
      </c>
      <c r="C76" s="72" t="s">
        <v>352</v>
      </c>
      <c r="D76" s="73">
        <v>4</v>
      </c>
      <c r="E76" s="73" t="s">
        <v>260</v>
      </c>
      <c r="F76" s="74" t="s">
        <v>247</v>
      </c>
      <c r="G76" s="71" t="s">
        <v>261</v>
      </c>
      <c r="H76" s="71" t="str">
        <f t="shared" si="4"/>
        <v>-- no weight data--</v>
      </c>
      <c r="I76" s="80" t="str">
        <f>IF(H76="-- no weight data--","",INDEX(EF[Value],MATCH(H76,EF[Emission Factors],0))/1000)</f>
        <v/>
      </c>
      <c r="J76" s="80" t="str">
        <f t="shared" si="2"/>
        <v/>
      </c>
      <c r="L76" s="107"/>
      <c r="M76" s="107"/>
    </row>
    <row r="77" spans="2:13" ht="19.5">
      <c r="B77" s="106" t="s">
        <v>353</v>
      </c>
      <c r="C77" s="72"/>
      <c r="D77" s="73">
        <v>1</v>
      </c>
      <c r="E77" s="73" t="s">
        <v>260</v>
      </c>
      <c r="F77" s="74" t="s">
        <v>247</v>
      </c>
      <c r="G77" s="71" t="s">
        <v>261</v>
      </c>
      <c r="H77" s="71" t="str">
        <f t="shared" si="4"/>
        <v>-- no weight data--</v>
      </c>
      <c r="I77" s="80" t="str">
        <f>IF(H77="-- no weight data--","",INDEX(EF[Value],MATCH(H77,EF[Emission Factors],0))/1000)</f>
        <v/>
      </c>
      <c r="J77" s="80" t="str">
        <f t="shared" si="2"/>
        <v/>
      </c>
      <c r="L77" s="107"/>
      <c r="M77" s="107"/>
    </row>
    <row r="78" spans="2:13" ht="19.5">
      <c r="B78" s="106" t="s">
        <v>354</v>
      </c>
      <c r="C78" s="72" t="s">
        <v>355</v>
      </c>
      <c r="D78" s="73"/>
      <c r="E78" s="73" t="s">
        <v>260</v>
      </c>
      <c r="F78" s="74"/>
      <c r="G78" s="71" t="s">
        <v>261</v>
      </c>
      <c r="H78" s="71" t="str">
        <f t="shared" si="4"/>
        <v>-- no weight data--</v>
      </c>
      <c r="I78" s="80" t="str">
        <f>IF(H78="-- no weight data--","",INDEX(EF[Value],MATCH(H78,EF[Emission Factors],0))/1000)</f>
        <v/>
      </c>
      <c r="J78" s="80" t="str">
        <f t="shared" si="2"/>
        <v/>
      </c>
    </row>
    <row r="79" spans="2:13" ht="19.5">
      <c r="B79" s="106" t="s">
        <v>356</v>
      </c>
      <c r="C79" s="72" t="s">
        <v>357</v>
      </c>
      <c r="D79" s="73">
        <v>1</v>
      </c>
      <c r="E79" s="73" t="s">
        <v>260</v>
      </c>
      <c r="F79" s="74" t="s">
        <v>247</v>
      </c>
      <c r="G79" s="71" t="s">
        <v>261</v>
      </c>
      <c r="H79" s="71" t="str">
        <f t="shared" si="4"/>
        <v>-- no weight data--</v>
      </c>
      <c r="I79" s="80" t="str">
        <f>IF(H79="-- no weight data--","",INDEX(EF[Value],MATCH(H79,EF[Emission Factors],0))/1000)</f>
        <v/>
      </c>
      <c r="J79" s="80" t="str">
        <f t="shared" si="2"/>
        <v/>
      </c>
      <c r="L79" s="107"/>
      <c r="M79" s="107"/>
    </row>
    <row r="80" spans="2:13" ht="19.5">
      <c r="B80" s="106" t="s">
        <v>358</v>
      </c>
      <c r="C80" s="72"/>
      <c r="D80" s="73">
        <v>3</v>
      </c>
      <c r="E80" s="73" t="s">
        <v>260</v>
      </c>
      <c r="F80" s="74" t="s">
        <v>247</v>
      </c>
      <c r="G80" s="71" t="s">
        <v>261</v>
      </c>
      <c r="H80" s="71" t="str">
        <f t="shared" si="4"/>
        <v>-- no weight data--</v>
      </c>
      <c r="I80" s="80" t="str">
        <f>IF(H80="-- no weight data--","",INDEX(EF[Value],MATCH(H80,EF[Emission Factors],0))/1000)</f>
        <v/>
      </c>
      <c r="J80" s="80" t="str">
        <f t="shared" si="2"/>
        <v/>
      </c>
      <c r="L80" s="107"/>
      <c r="M80" s="107"/>
    </row>
    <row r="81" spans="2:13" ht="19.5">
      <c r="B81" s="106" t="s">
        <v>359</v>
      </c>
      <c r="C81" s="72" t="s">
        <v>360</v>
      </c>
      <c r="D81" s="73">
        <v>1</v>
      </c>
      <c r="E81" s="73">
        <v>0.32</v>
      </c>
      <c r="F81" s="74" t="s">
        <v>361</v>
      </c>
      <c r="G81" s="71"/>
      <c r="H81" s="71" t="s">
        <v>121</v>
      </c>
      <c r="I81" s="80">
        <f>IF(H81="-- no weight data--","",INDEX(EF[Value],MATCH(H81,EF[Emission Factors],0))/1000)</f>
        <v>5.6479499999999998</v>
      </c>
      <c r="J81" s="80">
        <f t="shared" si="2"/>
        <v>1.8073440000000001</v>
      </c>
      <c r="L81" s="107"/>
      <c r="M81" s="107"/>
    </row>
    <row r="82" spans="2:13" ht="39">
      <c r="B82" s="106" t="s">
        <v>362</v>
      </c>
      <c r="C82" s="72" t="s">
        <v>363</v>
      </c>
      <c r="D82" s="73">
        <v>1</v>
      </c>
      <c r="E82" s="73">
        <v>9.6000000000000002E-2</v>
      </c>
      <c r="F82" s="74" t="s">
        <v>364</v>
      </c>
      <c r="G82" s="71"/>
      <c r="H82" s="71" t="s">
        <v>121</v>
      </c>
      <c r="I82" s="80">
        <f>IF(H82="-- no weight data--","",INDEX(EF[Value],MATCH(H82,EF[Emission Factors],0))/1000)</f>
        <v>5.6479499999999998</v>
      </c>
      <c r="J82" s="80">
        <f t="shared" si="2"/>
        <v>0.5422032</v>
      </c>
      <c r="M82" s="107"/>
    </row>
    <row r="83" spans="2:13" ht="19.5">
      <c r="B83" s="106" t="s">
        <v>365</v>
      </c>
      <c r="C83" s="72"/>
      <c r="D83" s="73">
        <v>1</v>
      </c>
      <c r="E83" s="73" t="s">
        <v>260</v>
      </c>
      <c r="F83" s="74" t="s">
        <v>247</v>
      </c>
      <c r="G83" s="71" t="s">
        <v>261</v>
      </c>
      <c r="H83" s="71" t="str">
        <f>"-- no weight data--"</f>
        <v>-- no weight data--</v>
      </c>
      <c r="I83" s="80" t="str">
        <f>IF(H83="-- no weight data--","",INDEX(EF[Value],MATCH(H83,EF[Emission Factors],0))/1000)</f>
        <v/>
      </c>
      <c r="J83" s="80" t="str">
        <f t="shared" si="2"/>
        <v/>
      </c>
      <c r="L83" s="107"/>
      <c r="M83" s="107"/>
    </row>
    <row r="84" spans="2:13" ht="19.5">
      <c r="B84" s="106" t="s">
        <v>366</v>
      </c>
      <c r="C84" s="72" t="s">
        <v>367</v>
      </c>
      <c r="D84" s="73">
        <v>1</v>
      </c>
      <c r="E84" s="73">
        <v>6.0000000000000001E-3</v>
      </c>
      <c r="F84" s="74" t="s">
        <v>247</v>
      </c>
      <c r="G84" s="71"/>
      <c r="H84" s="71" t="s">
        <v>125</v>
      </c>
      <c r="I84" s="80">
        <f>IF(H84="-- no weight data--","",INDEX(EF[Value],MATCH(H84,EF[Emission Factors],0))/1000)</f>
        <v>3.3453083700000001</v>
      </c>
      <c r="J84" s="80">
        <f t="shared" si="2"/>
        <v>2.007185022E-2</v>
      </c>
      <c r="L84" s="107"/>
      <c r="M84" s="107"/>
    </row>
    <row r="85" spans="2:13" ht="19.5">
      <c r="B85" s="106" t="s">
        <v>368</v>
      </c>
      <c r="C85" s="72"/>
      <c r="D85" s="73">
        <v>1</v>
      </c>
      <c r="E85" s="73" t="s">
        <v>260</v>
      </c>
      <c r="F85" s="74" t="s">
        <v>247</v>
      </c>
      <c r="G85" s="71" t="s">
        <v>261</v>
      </c>
      <c r="H85" s="71" t="str">
        <f>"-- no weight data--"</f>
        <v>-- no weight data--</v>
      </c>
      <c r="I85" s="80" t="str">
        <f>IF(H85="-- no weight data--","",INDEX(EF[Value],MATCH(H85,EF[Emission Factors],0))/1000)</f>
        <v/>
      </c>
      <c r="J85" s="80" t="str">
        <f t="shared" si="2"/>
        <v/>
      </c>
      <c r="L85" s="107"/>
      <c r="M85" s="107"/>
    </row>
    <row r="86" spans="2:13" ht="19.5">
      <c r="B86" s="122" t="s">
        <v>369</v>
      </c>
      <c r="C86" s="115"/>
      <c r="D86" s="116"/>
      <c r="E86" s="117"/>
      <c r="F86" s="118"/>
      <c r="G86" s="119"/>
      <c r="H86" s="119"/>
      <c r="I86" s="119"/>
      <c r="J86" s="121"/>
      <c r="L86" s="107"/>
      <c r="M86" s="107"/>
    </row>
    <row r="87" spans="2:13" ht="19.5">
      <c r="B87" s="106" t="s">
        <v>370</v>
      </c>
      <c r="C87" s="72"/>
      <c r="D87" s="73">
        <v>1</v>
      </c>
      <c r="E87" s="73">
        <v>0.5</v>
      </c>
      <c r="F87" s="76" t="s">
        <v>371</v>
      </c>
      <c r="G87" s="71"/>
      <c r="H87" s="71" t="s">
        <v>121</v>
      </c>
      <c r="I87" s="80">
        <f>IF(H87="-- no weight data--","",INDEX(EF[Value],MATCH(H87,EF[Emission Factors],0))/1000)</f>
        <v>5.6479499999999998</v>
      </c>
      <c r="J87" s="80">
        <f>IFERROR((E87*I87*D87),"")</f>
        <v>2.8239749999999999</v>
      </c>
      <c r="L87" s="107"/>
      <c r="M87" s="107"/>
    </row>
    <row r="88" spans="2:13" ht="19.5">
      <c r="B88" s="122" t="s">
        <v>372</v>
      </c>
      <c r="C88" s="115"/>
      <c r="D88" s="116"/>
      <c r="E88" s="117"/>
      <c r="F88" s="118"/>
      <c r="G88" s="119"/>
      <c r="H88" s="119"/>
      <c r="I88" s="119"/>
      <c r="J88" s="121"/>
    </row>
    <row r="89" spans="2:13" ht="19.5">
      <c r="B89" s="106" t="s">
        <v>373</v>
      </c>
      <c r="C89" s="72"/>
      <c r="D89" s="73">
        <v>4</v>
      </c>
      <c r="E89" s="73" t="s">
        <v>260</v>
      </c>
      <c r="F89" s="74" t="s">
        <v>247</v>
      </c>
      <c r="G89" s="71" t="s">
        <v>261</v>
      </c>
      <c r="H89" s="71" t="str">
        <f t="shared" ref="H89:H96" si="5">"-- no weight data--"</f>
        <v>-- no weight data--</v>
      </c>
      <c r="I89" s="80" t="str">
        <f>IF(H89="-- no weight data--","",INDEX(EF[Value],MATCH(H89,EF[Emission Factors],0))/1000)</f>
        <v/>
      </c>
      <c r="J89" s="80" t="str">
        <f t="shared" ref="J89:J105" si="6">IFERROR((E89*I89*D89),"")</f>
        <v/>
      </c>
      <c r="L89" s="107"/>
      <c r="M89" s="107"/>
    </row>
    <row r="90" spans="2:13" ht="19.5">
      <c r="B90" s="106" t="s">
        <v>374</v>
      </c>
      <c r="C90" s="72"/>
      <c r="D90" s="73">
        <v>4</v>
      </c>
      <c r="E90" s="73" t="s">
        <v>260</v>
      </c>
      <c r="F90" s="74" t="s">
        <v>247</v>
      </c>
      <c r="G90" s="71" t="s">
        <v>261</v>
      </c>
      <c r="H90" s="71" t="str">
        <f t="shared" si="5"/>
        <v>-- no weight data--</v>
      </c>
      <c r="I90" s="80" t="str">
        <f>IF(H90="-- no weight data--","",INDEX(EF[Value],MATCH(H90,EF[Emission Factors],0))/1000)</f>
        <v/>
      </c>
      <c r="J90" s="80" t="str">
        <f t="shared" si="6"/>
        <v/>
      </c>
      <c r="L90" s="107"/>
      <c r="M90" s="107"/>
    </row>
    <row r="91" spans="2:13" ht="19.5">
      <c r="B91" s="106" t="s">
        <v>375</v>
      </c>
      <c r="C91" s="72" t="s">
        <v>376</v>
      </c>
      <c r="D91" s="73">
        <v>2.5999999999999999E-2</v>
      </c>
      <c r="E91" s="73" t="s">
        <v>260</v>
      </c>
      <c r="F91" s="74"/>
      <c r="G91" s="71" t="s">
        <v>261</v>
      </c>
      <c r="H91" s="71" t="str">
        <f t="shared" si="5"/>
        <v>-- no weight data--</v>
      </c>
      <c r="I91" s="80" t="str">
        <f>IF(H91="-- no weight data--","",INDEX(EF[Value],MATCH(H91,EF[Emission Factors],0))/1000)</f>
        <v/>
      </c>
      <c r="J91" s="80" t="str">
        <f t="shared" si="6"/>
        <v/>
      </c>
      <c r="L91" s="107"/>
      <c r="M91" s="107"/>
    </row>
    <row r="92" spans="2:13" ht="19.5">
      <c r="B92" s="106" t="s">
        <v>377</v>
      </c>
      <c r="C92" s="72" t="s">
        <v>378</v>
      </c>
      <c r="D92" s="73">
        <v>0.02</v>
      </c>
      <c r="E92" s="73" t="s">
        <v>260</v>
      </c>
      <c r="F92" s="74" t="s">
        <v>247</v>
      </c>
      <c r="G92" s="71" t="s">
        <v>261</v>
      </c>
      <c r="H92" s="71" t="str">
        <f t="shared" si="5"/>
        <v>-- no weight data--</v>
      </c>
      <c r="I92" s="80" t="str">
        <f>IF(H92="-- no weight data--","",INDEX(EF[Value],MATCH(H92,EF[Emission Factors],0))/1000)</f>
        <v/>
      </c>
      <c r="J92" s="80" t="str">
        <f t="shared" si="6"/>
        <v/>
      </c>
      <c r="L92" s="107"/>
      <c r="M92" s="107"/>
    </row>
    <row r="93" spans="2:13" ht="19.5">
      <c r="B93" s="106" t="s">
        <v>379</v>
      </c>
      <c r="C93" s="72"/>
      <c r="D93" s="73">
        <v>2</v>
      </c>
      <c r="E93" s="73" t="s">
        <v>260</v>
      </c>
      <c r="F93" s="74" t="s">
        <v>247</v>
      </c>
      <c r="G93" s="71" t="s">
        <v>261</v>
      </c>
      <c r="H93" s="71" t="str">
        <f t="shared" si="5"/>
        <v>-- no weight data--</v>
      </c>
      <c r="I93" s="80" t="str">
        <f>IF(H93="-- no weight data--","",INDEX(EF[Value],MATCH(H93,EF[Emission Factors],0))/1000)</f>
        <v/>
      </c>
      <c r="J93" s="80" t="str">
        <f t="shared" si="6"/>
        <v/>
      </c>
      <c r="L93" s="107"/>
      <c r="M93" s="107"/>
    </row>
    <row r="94" spans="2:13" ht="39">
      <c r="B94" s="106" t="s">
        <v>380</v>
      </c>
      <c r="C94" s="72" t="s">
        <v>319</v>
      </c>
      <c r="D94" s="73">
        <v>4</v>
      </c>
      <c r="E94" s="73" t="s">
        <v>260</v>
      </c>
      <c r="F94" s="74" t="s">
        <v>247</v>
      </c>
      <c r="G94" s="71" t="s">
        <v>261</v>
      </c>
      <c r="H94" s="71" t="str">
        <f t="shared" si="5"/>
        <v>-- no weight data--</v>
      </c>
      <c r="I94" s="80" t="str">
        <f>IF(H94="-- no weight data--","",INDEX(EF[Value],MATCH(H94,EF[Emission Factors],0))/1000)</f>
        <v/>
      </c>
      <c r="J94" s="80" t="str">
        <f t="shared" si="6"/>
        <v/>
      </c>
      <c r="L94" s="107"/>
      <c r="M94" s="107"/>
    </row>
    <row r="95" spans="2:13" ht="39">
      <c r="B95" s="106" t="s">
        <v>381</v>
      </c>
      <c r="C95" s="72" t="s">
        <v>382</v>
      </c>
      <c r="D95" s="73">
        <v>0.375</v>
      </c>
      <c r="E95" s="73" t="s">
        <v>260</v>
      </c>
      <c r="F95" s="74" t="s">
        <v>247</v>
      </c>
      <c r="G95" s="71" t="s">
        <v>261</v>
      </c>
      <c r="H95" s="71" t="str">
        <f t="shared" si="5"/>
        <v>-- no weight data--</v>
      </c>
      <c r="I95" s="80" t="str">
        <f>IF(H95="-- no weight data--","",INDEX(EF[Value],MATCH(H95,EF[Emission Factors],0))/1000)</f>
        <v/>
      </c>
      <c r="J95" s="80" t="str">
        <f t="shared" si="6"/>
        <v/>
      </c>
      <c r="L95" s="107"/>
      <c r="M95" s="107"/>
    </row>
    <row r="96" spans="2:13" ht="19.5">
      <c r="B96" s="106" t="s">
        <v>383</v>
      </c>
      <c r="C96" s="72"/>
      <c r="D96" s="73">
        <v>1</v>
      </c>
      <c r="E96" s="73" t="s">
        <v>260</v>
      </c>
      <c r="F96" s="74" t="s">
        <v>247</v>
      </c>
      <c r="G96" s="71" t="s">
        <v>261</v>
      </c>
      <c r="H96" s="71" t="str">
        <f t="shared" si="5"/>
        <v>-- no weight data--</v>
      </c>
      <c r="I96" s="80" t="str">
        <f>IF(H96="-- no weight data--","",INDEX(EF[Value],MATCH(H96,EF[Emission Factors],0))/1000)</f>
        <v/>
      </c>
      <c r="J96" s="80" t="str">
        <f t="shared" si="6"/>
        <v/>
      </c>
      <c r="L96" s="107"/>
      <c r="M96" s="107"/>
    </row>
    <row r="97" spans="2:13" ht="39">
      <c r="B97" s="106" t="s">
        <v>384</v>
      </c>
      <c r="C97" s="72" t="s">
        <v>385</v>
      </c>
      <c r="D97" s="73">
        <v>1</v>
      </c>
      <c r="E97" s="73">
        <v>0.3</v>
      </c>
      <c r="F97" s="74" t="s">
        <v>247</v>
      </c>
      <c r="G97" s="71"/>
      <c r="H97" s="71" t="s">
        <v>121</v>
      </c>
      <c r="I97" s="80">
        <f>IF(H97="-- no weight data--","",INDEX(EF[Value],MATCH(H97,EF[Emission Factors],0))/1000)</f>
        <v>5.6479499999999998</v>
      </c>
      <c r="J97" s="80">
        <f t="shared" si="6"/>
        <v>1.6943849999999998</v>
      </c>
      <c r="L97" s="107"/>
      <c r="M97" s="107"/>
    </row>
    <row r="98" spans="2:13" ht="19.5">
      <c r="B98" s="106" t="s">
        <v>386</v>
      </c>
      <c r="C98" s="72"/>
      <c r="D98" s="73">
        <v>6</v>
      </c>
      <c r="E98" s="73" t="s">
        <v>260</v>
      </c>
      <c r="F98" s="74" t="s">
        <v>247</v>
      </c>
      <c r="G98" s="71" t="s">
        <v>261</v>
      </c>
      <c r="H98" s="71" t="str">
        <f t="shared" ref="H98:H105" si="7">"-- no weight data--"</f>
        <v>-- no weight data--</v>
      </c>
      <c r="I98" s="80" t="str">
        <f>IF(H98="-- no weight data--","",INDEX(EF[Value],MATCH(H98,EF[Emission Factors],0))/1000)</f>
        <v/>
      </c>
      <c r="J98" s="80" t="str">
        <f t="shared" si="6"/>
        <v/>
      </c>
      <c r="L98" s="107"/>
      <c r="M98" s="107"/>
    </row>
    <row r="99" spans="2:13" ht="19.5">
      <c r="B99" s="106" t="s">
        <v>387</v>
      </c>
      <c r="C99" s="72"/>
      <c r="D99" s="73">
        <v>12</v>
      </c>
      <c r="E99" s="73" t="s">
        <v>260</v>
      </c>
      <c r="F99" s="74" t="s">
        <v>247</v>
      </c>
      <c r="G99" s="71" t="s">
        <v>261</v>
      </c>
      <c r="H99" s="71" t="str">
        <f t="shared" si="7"/>
        <v>-- no weight data--</v>
      </c>
      <c r="I99" s="80" t="str">
        <f>IF(H99="-- no weight data--","",INDEX(EF[Value],MATCH(H99,EF[Emission Factors],0))/1000)</f>
        <v/>
      </c>
      <c r="J99" s="80" t="str">
        <f t="shared" si="6"/>
        <v/>
      </c>
      <c r="L99" s="107"/>
      <c r="M99" s="107"/>
    </row>
    <row r="100" spans="2:13" ht="19.5">
      <c r="B100" s="106" t="s">
        <v>388</v>
      </c>
      <c r="C100" s="72"/>
      <c r="D100" s="73">
        <v>0.1</v>
      </c>
      <c r="E100" s="73" t="s">
        <v>260</v>
      </c>
      <c r="F100" s="74" t="s">
        <v>247</v>
      </c>
      <c r="G100" s="71" t="s">
        <v>261</v>
      </c>
      <c r="H100" s="71" t="str">
        <f t="shared" si="7"/>
        <v>-- no weight data--</v>
      </c>
      <c r="I100" s="80" t="str">
        <f>IF(H100="-- no weight data--","",INDEX(EF[Value],MATCH(H100,EF[Emission Factors],0))/1000)</f>
        <v/>
      </c>
      <c r="J100" s="80" t="str">
        <f t="shared" si="6"/>
        <v/>
      </c>
      <c r="L100" s="107"/>
      <c r="M100" s="107"/>
    </row>
    <row r="101" spans="2:13" ht="19.5">
      <c r="B101" s="106" t="s">
        <v>389</v>
      </c>
      <c r="C101" s="72" t="s">
        <v>390</v>
      </c>
      <c r="D101" s="73">
        <v>0.1</v>
      </c>
      <c r="E101" s="73" t="s">
        <v>260</v>
      </c>
      <c r="F101" s="74"/>
      <c r="G101" s="71" t="s">
        <v>261</v>
      </c>
      <c r="H101" s="71" t="str">
        <f t="shared" si="7"/>
        <v>-- no weight data--</v>
      </c>
      <c r="I101" s="80" t="str">
        <f>IF(H101="-- no weight data--","",INDEX(EF[Value],MATCH(H101,EF[Emission Factors],0))/1000)</f>
        <v/>
      </c>
      <c r="J101" s="80" t="str">
        <f t="shared" si="6"/>
        <v/>
      </c>
      <c r="L101" s="107"/>
      <c r="M101" s="107"/>
    </row>
    <row r="102" spans="2:13" ht="19.5">
      <c r="B102" s="106" t="s">
        <v>391</v>
      </c>
      <c r="C102" s="72" t="s">
        <v>392</v>
      </c>
      <c r="D102" s="73">
        <v>0</v>
      </c>
      <c r="E102" s="73" t="s">
        <v>260</v>
      </c>
      <c r="F102" s="74" t="s">
        <v>247</v>
      </c>
      <c r="G102" s="71" t="s">
        <v>261</v>
      </c>
      <c r="H102" s="71" t="str">
        <f t="shared" si="7"/>
        <v>-- no weight data--</v>
      </c>
      <c r="I102" s="80" t="str">
        <f>IF(H102="-- no weight data--","",INDEX(EF[Value],MATCH(H102,EF[Emission Factors],0))/1000)</f>
        <v/>
      </c>
      <c r="J102" s="80" t="str">
        <f t="shared" si="6"/>
        <v/>
      </c>
      <c r="L102" s="107"/>
      <c r="M102" s="107"/>
    </row>
    <row r="103" spans="2:13" ht="97.5">
      <c r="B103" s="106" t="s">
        <v>393</v>
      </c>
      <c r="C103" s="72" t="s">
        <v>394</v>
      </c>
      <c r="D103" s="73">
        <v>0.1</v>
      </c>
      <c r="E103" s="73" t="s">
        <v>260</v>
      </c>
      <c r="F103" s="74" t="s">
        <v>247</v>
      </c>
      <c r="G103" s="71" t="s">
        <v>261</v>
      </c>
      <c r="H103" s="71" t="str">
        <f t="shared" si="7"/>
        <v>-- no weight data--</v>
      </c>
      <c r="I103" s="80" t="str">
        <f>IF(H103="-- no weight data--","",INDEX(EF[Value],MATCH(H103,EF[Emission Factors],0))/1000)</f>
        <v/>
      </c>
      <c r="J103" s="80" t="str">
        <f t="shared" si="6"/>
        <v/>
      </c>
      <c r="L103" s="107"/>
    </row>
    <row r="104" spans="2:13" ht="58.5">
      <c r="B104" s="106" t="s">
        <v>395</v>
      </c>
      <c r="C104" s="72" t="s">
        <v>396</v>
      </c>
      <c r="D104" s="73">
        <v>1</v>
      </c>
      <c r="E104" s="73" t="s">
        <v>260</v>
      </c>
      <c r="F104" s="74" t="s">
        <v>247</v>
      </c>
      <c r="G104" s="71" t="s">
        <v>261</v>
      </c>
      <c r="H104" s="71" t="str">
        <f t="shared" si="7"/>
        <v>-- no weight data--</v>
      </c>
      <c r="I104" s="80" t="str">
        <f>IF(H104="-- no weight data--","",INDEX(EF[Value],MATCH(H104,EF[Emission Factors],0))/1000)</f>
        <v/>
      </c>
      <c r="J104" s="80" t="str">
        <f t="shared" si="6"/>
        <v/>
      </c>
      <c r="L104" s="107"/>
      <c r="M104" s="107"/>
    </row>
    <row r="105" spans="2:13" ht="19.5">
      <c r="B105" s="106" t="s">
        <v>397</v>
      </c>
      <c r="C105" s="72"/>
      <c r="D105" s="73">
        <v>1</v>
      </c>
      <c r="E105" s="73" t="s">
        <v>260</v>
      </c>
      <c r="F105" s="74" t="s">
        <v>247</v>
      </c>
      <c r="G105" s="71" t="s">
        <v>261</v>
      </c>
      <c r="H105" s="71" t="str">
        <f t="shared" si="7"/>
        <v>-- no weight data--</v>
      </c>
      <c r="I105" s="80" t="str">
        <f>IF(H105="-- no weight data--","",INDEX(EF[Value],MATCH(H105,EF[Emission Factors],0))/1000)</f>
        <v/>
      </c>
      <c r="J105" s="80" t="str">
        <f t="shared" si="6"/>
        <v/>
      </c>
      <c r="L105" s="107"/>
      <c r="M105" s="107"/>
    </row>
    <row r="107" spans="2:13" ht="19.5">
      <c r="B107" s="150" t="s">
        <v>398</v>
      </c>
      <c r="C107" s="145">
        <f>SUM(J15:J105)</f>
        <v>187.12747849022006</v>
      </c>
    </row>
    <row r="108" spans="2:13">
      <c r="B108" s="58"/>
    </row>
    <row r="109" spans="2:13" ht="19.5">
      <c r="B109" s="65" t="s">
        <v>399</v>
      </c>
      <c r="C109" s="58"/>
      <c r="D109" s="58"/>
      <c r="E109" s="58"/>
      <c r="F109" s="58"/>
    </row>
    <row r="110" spans="2:13">
      <c r="B110" s="58"/>
      <c r="C110" s="58"/>
      <c r="D110" s="58"/>
      <c r="E110" s="58"/>
      <c r="F110" s="58"/>
    </row>
    <row r="111" spans="2:13" ht="58.5">
      <c r="B111" s="79" t="s">
        <v>400</v>
      </c>
      <c r="C111" s="79" t="s">
        <v>401</v>
      </c>
      <c r="D111" s="67" t="s">
        <v>402</v>
      </c>
      <c r="E111" s="79" t="s">
        <v>403</v>
      </c>
      <c r="F111" s="79" t="s">
        <v>404</v>
      </c>
      <c r="G111" s="79" t="s">
        <v>405</v>
      </c>
    </row>
    <row r="112" spans="2:13" ht="19.5">
      <c r="B112" s="71" t="s">
        <v>232</v>
      </c>
      <c r="C112" s="72" t="s">
        <v>131</v>
      </c>
      <c r="D112" s="75">
        <f>SUMPRODUCT(D15:D50,E15:E50)</f>
        <v>10.230999999999998</v>
      </c>
      <c r="E112" s="114">
        <f>INDEX(EF[Value],MATCH(C112,EF[Emission Factors],0))/1000</f>
        <v>6.4106099999999997E-3</v>
      </c>
      <c r="F112" s="80">
        <f>IFERROR(E112*D112,"")</f>
        <v>6.5586950909999983E-2</v>
      </c>
      <c r="G112" s="71" t="s">
        <v>117</v>
      </c>
    </row>
    <row r="113" spans="2:7" ht="19.5">
      <c r="B113" s="71" t="s">
        <v>312</v>
      </c>
      <c r="C113" s="72" t="s">
        <v>131</v>
      </c>
      <c r="D113" s="75">
        <f>SUMPRODUCT(D52,E52)</f>
        <v>1.4339999999999999</v>
      </c>
      <c r="E113" s="114">
        <f>INDEX(EF[Value],MATCH(C113,EF[Emission Factors],0))/1000</f>
        <v>6.4106099999999997E-3</v>
      </c>
      <c r="F113" s="80">
        <f t="shared" ref="F113:F117" si="8">IFERROR(E113*D113,"")</f>
        <v>9.1928147399999993E-3</v>
      </c>
      <c r="G113" s="71" t="s">
        <v>117</v>
      </c>
    </row>
    <row r="114" spans="2:7" ht="19.5">
      <c r="B114" s="71" t="s">
        <v>314</v>
      </c>
      <c r="C114" s="72" t="s">
        <v>131</v>
      </c>
      <c r="D114" s="75">
        <f>SUMPRODUCT(D54:D58,E54:E58)</f>
        <v>1.44</v>
      </c>
      <c r="E114" s="114">
        <f>INDEX(EF[Value],MATCH(C114,EF[Emission Factors],0))/1000</f>
        <v>6.4106099999999997E-3</v>
      </c>
      <c r="F114" s="80">
        <f t="shared" si="8"/>
        <v>9.2312783999999991E-3</v>
      </c>
      <c r="G114" s="71" t="s">
        <v>117</v>
      </c>
    </row>
    <row r="115" spans="2:7" ht="19.5">
      <c r="B115" s="71" t="s">
        <v>324</v>
      </c>
      <c r="C115" s="72" t="s">
        <v>131</v>
      </c>
      <c r="D115" s="75">
        <f>SUMPRODUCT(D60:D85,E60:E85)</f>
        <v>2.9499999999999997</v>
      </c>
      <c r="E115" s="114">
        <f>INDEX(EF[Value],MATCH(C115,EF[Emission Factors],0))/1000</f>
        <v>6.4106099999999997E-3</v>
      </c>
      <c r="F115" s="80">
        <f t="shared" si="8"/>
        <v>1.8911299499999999E-2</v>
      </c>
      <c r="G115" s="71" t="s">
        <v>117</v>
      </c>
    </row>
    <row r="116" spans="2:7" ht="19.5">
      <c r="B116" s="71" t="s">
        <v>369</v>
      </c>
      <c r="C116" s="72" t="s">
        <v>131</v>
      </c>
      <c r="D116" s="75">
        <f>SUMPRODUCT(D87,E87)</f>
        <v>0.5</v>
      </c>
      <c r="E116" s="114">
        <f>INDEX(EF[Value],MATCH(C116,EF[Emission Factors],0))/1000</f>
        <v>6.4106099999999997E-3</v>
      </c>
      <c r="F116" s="80">
        <f t="shared" si="8"/>
        <v>3.2053049999999999E-3</v>
      </c>
      <c r="G116" s="71" t="s">
        <v>117</v>
      </c>
    </row>
    <row r="117" spans="2:7" ht="19.5">
      <c r="B117" s="71" t="s">
        <v>372</v>
      </c>
      <c r="C117" s="72" t="s">
        <v>131</v>
      </c>
      <c r="D117" s="75">
        <f>SUMPRODUCT(D89:D105,E89:E105)</f>
        <v>0.3</v>
      </c>
      <c r="E117" s="114">
        <f>INDEX(EF[Value],MATCH(C117,EF[Emission Factors],0))/1000</f>
        <v>6.4106099999999997E-3</v>
      </c>
      <c r="F117" s="80">
        <f t="shared" si="8"/>
        <v>1.9231829999999998E-3</v>
      </c>
      <c r="G117" s="71" t="s">
        <v>117</v>
      </c>
    </row>
    <row r="119" spans="2:7" ht="19.5">
      <c r="B119" s="150" t="s">
        <v>406</v>
      </c>
      <c r="C119" s="145">
        <f>SUM(F112:F117)</f>
        <v>0.10805083154999999</v>
      </c>
    </row>
    <row r="120" spans="2:7">
      <c r="B120" s="58"/>
      <c r="C120" s="58"/>
      <c r="D120" s="58"/>
      <c r="E120" s="58"/>
      <c r="F120" s="58"/>
    </row>
    <row r="122" spans="2:7" ht="19.5">
      <c r="B122" s="65" t="s">
        <v>407</v>
      </c>
    </row>
    <row r="123" spans="2:7">
      <c r="B123" s="123" t="s">
        <v>408</v>
      </c>
    </row>
    <row r="124" spans="2:7" ht="19.5">
      <c r="B124" s="67" t="s">
        <v>235</v>
      </c>
      <c r="C124" s="67" t="s">
        <v>409</v>
      </c>
      <c r="D124" s="78" t="s">
        <v>57</v>
      </c>
      <c r="E124" s="67" t="s">
        <v>58</v>
      </c>
      <c r="F124" s="68" t="s">
        <v>410</v>
      </c>
      <c r="G124" s="69" t="s">
        <v>240</v>
      </c>
    </row>
    <row r="125" spans="2:7" ht="19.5">
      <c r="B125" s="71" t="s">
        <v>411</v>
      </c>
      <c r="C125" s="72" t="s">
        <v>412</v>
      </c>
      <c r="D125" s="73" t="s">
        <v>92</v>
      </c>
      <c r="E125" s="73">
        <v>2</v>
      </c>
      <c r="F125" s="76" t="s">
        <v>371</v>
      </c>
      <c r="G125" s="71"/>
    </row>
    <row r="126" spans="2:7" ht="19.5">
      <c r="B126" s="71" t="s">
        <v>413</v>
      </c>
      <c r="C126" s="72" t="s">
        <v>384</v>
      </c>
      <c r="D126" s="73" t="s">
        <v>92</v>
      </c>
      <c r="E126" s="73">
        <v>4.5999999999999996</v>
      </c>
      <c r="F126" s="77" t="s">
        <v>414</v>
      </c>
      <c r="G126" s="172"/>
    </row>
    <row r="127" spans="2:7" ht="39">
      <c r="B127" s="71" t="s">
        <v>413</v>
      </c>
      <c r="C127" s="72" t="s">
        <v>415</v>
      </c>
      <c r="D127" s="73" t="s">
        <v>81</v>
      </c>
      <c r="E127" s="171">
        <v>0.1</v>
      </c>
      <c r="F127" s="173" t="s">
        <v>296</v>
      </c>
      <c r="G127" s="102"/>
    </row>
    <row r="128" spans="2:7" ht="19.5">
      <c r="C128" s="170"/>
    </row>
    <row r="129" spans="2:5" ht="19.5">
      <c r="B129" s="70" t="s">
        <v>416</v>
      </c>
      <c r="C129" s="67" t="s">
        <v>409</v>
      </c>
      <c r="D129" s="78" t="s">
        <v>57</v>
      </c>
      <c r="E129" s="67" t="s">
        <v>58</v>
      </c>
    </row>
    <row r="130" spans="2:5" ht="19.5">
      <c r="B130" s="71" t="s">
        <v>417</v>
      </c>
      <c r="C130" s="71" t="s">
        <v>418</v>
      </c>
      <c r="D130" s="73" t="s">
        <v>77</v>
      </c>
      <c r="E130" s="151">
        <f>(E125/1000)*Backend!$E$18*365*24*IF(Year=2024,ElecEF_UK_2024,IF(Year=2025,ElecEF_UK_2025,"No emission factor available"))</f>
        <v>21.497039999999998</v>
      </c>
    </row>
    <row r="131" spans="2:5" ht="19.5">
      <c r="B131" s="71" t="s">
        <v>419</v>
      </c>
      <c r="C131" s="71" t="s">
        <v>418</v>
      </c>
      <c r="D131" s="73" t="s">
        <v>77</v>
      </c>
      <c r="E131" s="151">
        <f>(E126/1000)*Backend!$E$18*365*24*IF(Year=2024,ElecEF_UK_2024,IF(Year=2025,ElecEF_UK_2025,"No emission factor available"))*E127</f>
        <v>4.9443191999999998</v>
      </c>
    </row>
    <row r="134" spans="2:5" ht="19.5">
      <c r="B134" s="65" t="s">
        <v>420</v>
      </c>
    </row>
    <row r="135" spans="2:5" ht="19.5">
      <c r="B135" s="2" t="s">
        <v>421</v>
      </c>
    </row>
    <row r="136" spans="2:5" ht="19.5">
      <c r="B136" s="167">
        <v>0.7</v>
      </c>
    </row>
  </sheetData>
  <autoFilter ref="B13:K105" xr:uid="{57A06324-C1F9-4FB6-95B7-331A7695238E}"/>
  <phoneticPr fontId="7" type="noConversion"/>
  <hyperlinks>
    <hyperlink ref="F15" r:id="rId1" location=":~:text=Top%20highlights,Scalability:%202S." xr:uid="{93A4F59A-D3E8-4F6B-B0E8-1E6A5D2882C4}"/>
    <hyperlink ref="F17" r:id="rId2" location=":~:text=Capacity:%2016%20GB,Data%20Integrity:%20ECC" xr:uid="{8DCC9BD2-22AE-4A30-B137-194E79814F48}"/>
    <hyperlink ref="F16" r:id="rId3" location=":~:text=Additional%20information%20in%20manufacturers%20website,Color%20%2D%20Not%20applicable" xr:uid="{BF15C15B-64D1-4B7F-BE3B-3C659C0E0FF5}"/>
    <hyperlink ref="F20" r:id="rId4" xr:uid="{95F78641-4911-46CF-B357-AA948CAFCD16}"/>
    <hyperlink ref="F18" r:id="rId5" xr:uid="{E0B212F9-F49D-4704-85EB-F5991506BDDE}"/>
    <hyperlink ref="F125" r:id="rId6" xr:uid="{9F19BBAB-D304-4C3F-B534-7D9F76C945A9}"/>
    <hyperlink ref="F19" r:id="rId7" location=":~:text=Table_title:%20Supermicro%20AOM%2DTPM%2D9655H%2DC%20Table_content:%20row:%20%7C%20Product,24%20months%20%7C%200.05%20kg%20%7C%20%7C" xr:uid="{3CC80B9E-F116-4225-A9AE-EC4921084E29}"/>
    <hyperlink ref="F21" r:id="rId8" display="https://www.meshdirect.co.uk/woven-stainless-wire-cloth-10-mesh-1.98-mm-aperture.html" xr:uid="{1C872358-E729-4586-B0B4-5DB74477BA0D}"/>
    <hyperlink ref="F22" r:id="rId9" display="https://drive.google.com/file/d/1xzLRay3IB4rY3J8wpI0Eo32J6lMJKC5a/view?usp=sharing" xr:uid="{888BE18A-DA8E-4F89-9A8B-637485EB2398}"/>
    <hyperlink ref="F57" r:id="rId10" xr:uid="{EAAD94C5-28A6-4F67-B7D8-F0FE9CD98778}"/>
    <hyperlink ref="F26" r:id="rId11" xr:uid="{DF2143C6-7962-4228-8F52-C5C8137A4BC8}"/>
    <hyperlink ref="F29" r:id="rId12" display="https://uk.rs-online.com/web/p/cable-ties/1703873/" xr:uid="{4CA62FA2-F38A-46E0-94AD-DCF67D17CABE}"/>
    <hyperlink ref="F30" r:id="rId13" display="https://uk.rs-online.com/web/p/cable-ties/8103832/" xr:uid="{1B2725E6-BE10-401C-94E3-6F1688ACE1ED}"/>
    <hyperlink ref="F31" r:id="rId14" display="https://uk.rs-online.com/web/p/cable-ties/3592142/" xr:uid="{765BD9E8-35FA-4E95-B968-05C618DB5E88}"/>
    <hyperlink ref="F34" r:id="rId15" display="https://www.amazon.co.uk/gp/product/B00L2O0I5K/" xr:uid="{47E2BD8A-9109-4D0F-AD70-7C8CA8C05D01}"/>
    <hyperlink ref="F35" r:id="rId16" display="https://innov8wholesale.com/products/usb-3-0-type-a-male-to-female-90-degree-angled-extension-cable-15cm?_pos=1&amp;_sid=d95a3c858&amp;_ss=r&amp;variant=40909591871656" xr:uid="{5D46CFBC-9772-401E-8362-3503E604FF8D}"/>
    <hyperlink ref="F37" r:id="rId17" display="https://uk.rs-online.com/web/p/products/7004545/" xr:uid="{9021ED3F-E394-46B3-A58E-53955A61C936}"/>
    <hyperlink ref="F38" r:id="rId18" display="https://uk.rs-online.com/web/p/heat-sinks-and-heat-sink-fans/5040750" xr:uid="{7EE5DC9C-5A49-4B57-A743-B7BB87C6EF64}"/>
    <hyperlink ref="F40" r:id="rId19" display="https://uk.rs-online.com/web/p/metallic-tapes/1859047" xr:uid="{237EB1AE-3A0B-44C6-9BBB-4384978FC302}"/>
    <hyperlink ref="F41" r:id="rId20" display="https://hilltop-products.co.uk/cable-management/tape/adhesive-lined-heat-shrink-tape/heat-shrink-hot-melt-tape-with-adhesive-inner-hdv-25-metre-rolls.html" xr:uid="{C666BDDC-8B3E-403B-9C94-1855A44E953C}"/>
    <hyperlink ref="F42" r:id="rId21" display="https://www.amazon.co.uk/gp/product/B00NEMG62M/" xr:uid="{26A87941-1146-4A34-A5BD-D405F44269B5}"/>
    <hyperlink ref="F43" r:id="rId22" display="https://cpc.farnell.com/pro-signal/rb-415/sata-lp4-2x-sata-internal-power/dp/CS11885" xr:uid="{C8D69663-8129-49F9-8C26-C363898C2109}"/>
    <hyperlink ref="F45" r:id="rId23" display="https://www.accu.co.uk/cylindrical-spacers/504746-HPS-5-3-10-3-PA" xr:uid="{EB69F49B-6A70-4183-996D-8CC0AE426345}"/>
    <hyperlink ref="F61" r:id="rId24" display="https://www.amazon.co.uk/gp/product/B0956JS3BD/" xr:uid="{707E490C-CB7D-406A-9BBA-0F001A4A619A}"/>
    <hyperlink ref="F62" r:id="rId25" display="https://cpc.farnell.com/pro-signal/psg91639/lead-rj12-plug-rj12-plug-black/dp/CS32921" xr:uid="{2EB8910B-38B0-4963-B12F-245A3D2A90BF}"/>
    <hyperlink ref="F63" r:id="rId26" display="https://www.accu.co.uk/phillips-pan-head-screws/65408-SIP-M3-6-A2" xr:uid="{762FB290-D846-4D21-96D5-35D2F2F8F1F8}"/>
    <hyperlink ref="F64" r:id="rId27" display="https://www.cef.co.uk/catalogue/products/23814-1-inch-38mm-pvc-open-grommets-black-sold-in-1-s" xr:uid="{83520327-2112-4D61-A1B5-C67EC62CC91A}"/>
    <hyperlink ref="F65" r:id="rId28" display="https://uk.rs-online.com/web/p/cable-grommets/2414580" xr:uid="{AFE3C349-337E-470B-A62A-41504F3D8806}"/>
    <hyperlink ref="F66" r:id="rId29" display="https://uk.rs-online.com/web/p/cable-grommets/1366014/" xr:uid="{3E95047E-E248-4AD2-85AE-FAA609FA0732}"/>
    <hyperlink ref="F67" r:id="rId30" display="https://uk.rs-online.com/web/p/leds/2545727" xr:uid="{617CBCB5-B258-4063-8F2D-1A0BE39C0959}"/>
    <hyperlink ref="F68" r:id="rId31" display="https://uk.rs-online.com/web/p/led-holders/8415065/" xr:uid="{8A26D779-3096-4BC8-8067-24D8D03B4EA3}"/>
    <hyperlink ref="F69" r:id="rId32" display="https://www.hobbytronics.co.uk/crimp-conn-pins" xr:uid="{1EDA119C-9C90-495E-84A1-BEF1696314AB}"/>
    <hyperlink ref="F70" r:id="rId33" display="https://uk.rs-online.com/web/p/heat-shrink-tubing/8112669/" xr:uid="{E56A7800-BBB0-4A0B-BD21-27A040056D13}"/>
    <hyperlink ref="F72" r:id="rId34" display="https://www.amazon.co.uk/gp/product/B07RW73CB7" xr:uid="{95388DEF-9D82-4312-B22C-671E98FD3E63}"/>
    <hyperlink ref="F73" r:id="rId35" display="https://www.fif.com.pl/en/io-extension-modules/579-relay-outputs-expansion-mr-ro-1.html" xr:uid="{FF53A511-83BA-4C41-AD54-BF3AA75F6E28}"/>
    <hyperlink ref="F74" r:id="rId36" display="https://www.amazon.co.uk/gp/product/B0BL6SB7RQ/" xr:uid="{B88A2C51-154F-4D00-A56D-C99E23F52DD8}"/>
    <hyperlink ref="F75" r:id="rId37" display="https://www.accu.co.uk/external-fine-tooth-locking-washers/495651-HLFW-M4-4-6-Z" xr:uid="{FD10D94F-E1F2-4E6D-9C97-0D8738B438C6}"/>
    <hyperlink ref="F76" r:id="rId38" display="https://www.accu.co.uk/metric-flat-washers/495907-HPW-M4-V3-4-6-Z" xr:uid="{E33D1CC7-E56E-455E-8B9C-958463DE160D}"/>
    <hyperlink ref="F77" r:id="rId39" display="https://drive.google.com/file/d/1G1KfFyDQjDRQblFAbEem42tV28NvJlFh/view?usp=sharing" xr:uid="{4844CE07-5003-4042-A5D7-4B68396DC299}"/>
    <hyperlink ref="F79" r:id="rId40" display="https://uk.rs-online.com/web/c/connectors/mains-dc-power-connectors/mains-plugs-sockets/?searchTerm=NAC3MPXX&amp;redirect-relevancy-data=7365617263685F636173636164655F6F726465723D31267365617263685F696E746572666163655F6E616D653D4931384E53656172636847656E65726963267365617263685F6C616E67756167655F757365643D656E267365617263685F6D617463685F6D6F64653D6D61746368616C6C7061727469616C267365617263685F7061747465726E5F6D6174636865643D5E5B5C707B4C7D5C707B4E647D2D2C2F255C2E5D2B24267365617263685F7061747465726E5F6F726465723D313333267365617263685F73745F6E6F726D616C697365643D59267365617263685F726573706F6E73655F616374696F6E3D43617465676F72795F5265646972656374267365617263685F747970653D4B4559574F52445F53494E474C455F414C5048415F4E554D45524943267365617263685F7370656C6C5F636F72726563745F6170706C6965643D59267365617263685F77696C645F63617264696E675F6D6F64653D4E4F4E45267365617263685F6B6579776F72643D4E4143334D505858267365617263685F6B6579776F72645F6170703D4E4143334D505858267365617263685F636F6E6669673D3026&amp;r=f&amp;searchHistory=%7B%22enabled%22:true%7D" xr:uid="{CF1204A4-1D6D-4258-B758-370AB12917D1}"/>
    <hyperlink ref="F80" r:id="rId41" display="https://uk.rs-online.com/web/p/spade-connectors/0534418?gb=s" xr:uid="{F7580928-A9D1-41B5-A308-7669DA045012}"/>
    <hyperlink ref="F81" r:id="rId42" display="https://www.cef.co.uk/catalogue/products/4575507-5-module-metalclad-ip20-enclosure" xr:uid="{0163065E-644C-43D8-9B4E-466A87261E63}"/>
    <hyperlink ref="F82" r:id="rId43" display="https://www.electricalcounter.co.uk/products/Circuit+Protection/Europa+Circuit+Protection/Devices/MCBs/1+Pole+MCBs/Europa+EUB16C+6A+C+Curve+1+Pole+Miniature+Circuit+Breaker+MCB+6kA/3426658775" xr:uid="{2572E588-D815-4FB3-98A8-9C608F0C973A}"/>
    <hyperlink ref="F83" r:id="rId44" display="https://cpc.farnell.com/tuk/kck66/coupler-keystone-rj11-rj12-black/dp/CS27660" xr:uid="{AC701493-E128-4A99-AB3C-D62ADE784D7B}"/>
    <hyperlink ref="F84" r:id="rId45" display="https://app.3dprint-uk.co.uk/portal/quote/c47290e52/" xr:uid="{4598D15B-1761-4883-B40D-1B051DC261C5}"/>
    <hyperlink ref="F85" r:id="rId46" display="https://uk.rs-online.com/web/p/cable-gland-locknuts/0127524/" xr:uid="{2C544D0D-2267-4573-AC14-F8F14BA5EE37}"/>
    <hyperlink ref="F46" r:id="rId47" display="https://www.accu.co.uk/socket-button-screws/8130-SSB-M4-12-A2" xr:uid="{8964DCAE-D4D1-49F7-9C4F-DB861296B4CF}"/>
    <hyperlink ref="F47" r:id="rId48" display="https://microdream.co.uk/dell-optiplex-gx620-745-chassis-intrusion-switch-uc635.html" xr:uid="{0F80E95F-9BD8-452E-8193-434B6DDE3E04}"/>
    <hyperlink ref="F48" r:id="rId49" display="https://app.3dprint-uk.co.uk/portal/quote/c5001e138/" xr:uid="{68495519-439E-43E9-95CE-65F46DD3D9F8}"/>
    <hyperlink ref="F49" r:id="rId50" display="https://www.universeal.co.uk/flexigrip-250m-cable-seal" xr:uid="{CA08B286-C584-4B89-919C-6D2E22FFA4B6}"/>
    <hyperlink ref="F89" r:id="rId51" display="https://screwshop.co.uk/product/full-nuts-a2-stainless-steel/" xr:uid="{9E25AE3D-19C9-40CC-8B00-7B635BD597FE}"/>
    <hyperlink ref="F90" r:id="rId52" display="https://www.accu.co.uk/dog-point-set-screws/5185-SSD-M5-30-A2D-M6-30-A2" xr:uid="{DE970708-4B1A-4169-907B-E40A4DC50015}"/>
    <hyperlink ref="F92" r:id="rId53" display="https://www.amazon.co.uk/gp/product/B08RJHK31Y/ref=ppx_yo_dt_b_search_asin_title?ie=UTF8&amp;th=1" xr:uid="{E14946E2-8FB2-48FA-95CF-212A4AAC298F}"/>
    <hyperlink ref="F93" r:id="rId54" display="https://uk.rs-online.com/web/p/p-clips/1877716/" xr:uid="{80D3B373-6A76-419E-8819-3952CC4D128A}"/>
    <hyperlink ref="F94" r:id="rId55" display="https://www.accu.co.uk/en/phillips-self-tapping-pan-screws/372281-SIPT-No-14-4-A2-BL" xr:uid="{E248AB98-8922-4A00-8B18-BA8B34080AC3}"/>
    <hyperlink ref="F95" r:id="rId56" display="https://www.amazon.co.uk/gp/product/B07PHT3LWC/" xr:uid="{F705A913-824A-44A5-817E-0DEBC3C74FC9}"/>
    <hyperlink ref="F96" r:id="rId57" display="https://uk.farnell.com/3m/7100104991/mixing-nozzle-adhesive-square/dp/3266931" xr:uid="{3CD03C0F-E881-456F-9C61-7F158B4B9A62}"/>
    <hyperlink ref="F97" r:id="rId58" display="https://www.amazon.co.uk/gp/product/B01G5Q9E0O/" xr:uid="{000528BE-40A0-4EEA-B1EE-8E35AFBF5ECE}"/>
    <hyperlink ref="F98" r:id="rId59" display="https://www.amazon.co.uk/gp/product/B08643424M/" xr:uid="{1E380923-7AD5-48B7-A5F5-3A7907E37FA3}"/>
    <hyperlink ref="F99" r:id="rId60" display="https://www.screwfix.com/p/easydrive-phillips-bugle-uncollated-drywall-screws-3-5-x-32mm-1000-pack/16374" xr:uid="{4AA06ED7-2BAA-459F-B1BA-B44EC87F9FA6}"/>
    <hyperlink ref="F100" r:id="rId61" display="https://www.screwfix.com/p/fischer-duopower-wall-plugs-6mm-x-30mm-100-pack/1030p" xr:uid="{08AEE864-0D31-4AA0-8DD7-1F39E879F660}"/>
    <hyperlink ref="F102" r:id="rId62" display="https://www.amazon.co.uk/Kurtzy-25-4mm-Brushes-Stains-Varnishes/dp/B00MB33YHU/" xr:uid="{26DA41FE-D6B7-4AE4-A476-85A81FFCC4F8}"/>
    <hyperlink ref="F103" r:id="rId63" display="https://www.amazon.co.uk/gp/product/B00CE96EU0/" xr:uid="{A438062F-8A7F-4666-82E4-F2924A184C85}"/>
    <hyperlink ref="F104" r:id="rId64" display="https://uk.farnell.com/mg-chemicals/8329tff-25ml/thermally-conductive-adhesive/dp/2889773?st=8329tff" xr:uid="{2A8414D0-3252-48C1-8598-2D160F4D0D80}"/>
    <hyperlink ref="F105" r:id="rId65" display="https://uk.farnell.com/mg-chemicals/8329tfs-25ml/adhesive-epoxy-dual-syringe-25ml/dp/2811930" xr:uid="{03DCFF2A-5609-49E2-850E-E2DE44253A65}"/>
    <hyperlink ref="F58" r:id="rId66" xr:uid="{5B9C86A4-57A0-49BB-96BE-8D3CFDE7A182}"/>
    <hyperlink ref="F27" r:id="rId67" display="https://www.google.com/search?q=Low+profile+plug+CAT+cable+weight+in+kg&amp;sca_esv=7961302cda4152b2&amp;ei=oNdwaYePA4-7hbIPkeKh4Qo&amp;ved=0ahUKEwiH37ex4ZySAxWPXUEAHRFxKKwQ4dUDCBE&amp;uact=5&amp;oq=Low+profile+plug+CAT+cable+weight+in+kg&amp;gs_lp=Egxnd3Mtd2l6LXNlcnAiJ0xvdyBwcm9maWxlIHBsdWcgQ0FUIGNhYmxlIHdlaWdodCBpbiBrZzIFEAAY7wUyBRAAGO8FMgUQABjvBTIIEAAYgAQYogRIygdQAFgAcAB4AJABAJgBc6ABc6oBAzAuMbgBA8gBAPgBAvgBAZgCAaACeJgDAJIHAzAuMaAH3AKyBwMwLjG4B3jCBwMyLTHIBwOACAE&amp;sclient=gws-wiz-serp" xr:uid="{9BD1D18C-9893-4AB7-A661-BFEBA774439B}"/>
    <hyperlink ref="F32" r:id="rId68" display="https://www.google.com/search?q=2+row+12P+0.1%22+crimp+housing%0D%0A+weight+in+kg&amp;sca_esv=7961302cda4152b2&amp;ei=tthwac6RB42ohbIP-YyNgAc&amp;ved=0ahUKEwjOxIO24pySAxUNVEEAHXlGA3AQ4dUDCBE&amp;uact=5&amp;oq=2+row+12P+0.1%22+crimp+housing%0D%0A+weight+in+kg&amp;gs_lp=Egxnd3Mtd2l6LXNlcnAiKjIgcm93IDEyUCAwLjEiIGNyaW1wIGhvdXNpbmcKIHdlaWdodCBpbiBrZzIIEAAY7wUYsAMyCBAAGO8FGLADMggQABjvBRiwAzIIEAAY7wUYsAMyCBAAGO8FGLADSJ6kAlDjoQJY46ECcAJ4AJABAJgBAKABAKoBALgBA8gBAPgBAvgBAZgCAqACBJgDAIgGAZAGBZIHATKgBwCyBwC4BwDCBwMwLjLIBwOACAE&amp;sclient=gws-wiz-serp" xr:uid="{6C1C6B71-39B0-44D5-9427-CBA1D2C495FD}"/>
    <hyperlink ref="F33" r:id="rId69" display="https://www.google.com/search?q=2+row+12P+0.1%22+crimp+housing%0D%0A+weight+in+kg&amp;sca_esv=7961302cda4152b2&amp;ei=tthwac6RB42ohbIP-YyNgAc&amp;ved=0ahUKEwjOxIO24pySAxUNVEEAHXlGA3AQ4dUDCBE&amp;uact=5&amp;oq=2+row+12P+0.1%22+crimp+housing%0D%0A+weight+in+kg&amp;gs_lp=Egxnd3Mtd2l6LXNlcnAiKjIgcm93IDEyUCAwLjEiIGNyaW1wIGhvdXNpbmcKIHdlaWdodCBpbiBrZzIIEAAY7wUYsAMyCBAAGO8FGLADMggQABjvBRiwAzIIEAAY7wUYsAMyCBAAGO8FGLADSJ6kAlDjoQJY46ECcAJ4AJABAJgBAKABAKoBALgBA8gBAPgBAvgBAZgCAqACBJgDAIgGAZAGBZIHATKgBwCyBwC4BwDCBwMwLjLIBwOACAE&amp;sclient=gws-wiz-serp" xr:uid="{7197DAD2-8140-452C-9345-71BBD38B26B7}"/>
    <hyperlink ref="F36" r:id="rId70" location=":~:text=Table_title:%20Product%20specifications%20Table_content:%20header:%20%7C%20Unit,of%20Items%20%7C%201.0%20count:%201%20%7C" display="https://www.amazon.co.uk/RS-485-WE-RS485-Serial-Converter-Adapter/dp/B087J3GYZC - :~:text=Table_title:%20Product%20specifications%20Table_content:%20header:%20%7C%20Unit,of%20Items%20%7C%201.0%20count:%201%20%7C" xr:uid="{1CB8DAA2-CCB0-4359-B045-4DC79AF0766B}"/>
    <hyperlink ref="F87" r:id="rId71" xr:uid="{B4B1C7D5-0E7E-4DA9-B9CD-5A8E65173BC9}"/>
    <hyperlink ref="F23" r:id="rId72" location="data-sheet" xr:uid="{B4F5A90E-DF3B-48A2-97F3-DD38F2BC9087}"/>
    <hyperlink ref="F126" r:id="rId73" location="specifications" display="https://www.tp-link.com/uk/home-networking/powerline/tl-pa4010p-kit/ - specifications" xr:uid="{3528534D-8490-4537-AD60-CFEB421EDC2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3F8EF-C524-4943-8FAE-87B37D61A5EA}">
  <sheetPr>
    <tabColor rgb="FF003F79"/>
  </sheetPr>
  <dimension ref="B2:H24"/>
  <sheetViews>
    <sheetView showGridLines="0" zoomScale="90" zoomScaleNormal="90" workbookViewId="0"/>
  </sheetViews>
  <sheetFormatPr defaultRowHeight="15"/>
  <cols>
    <col min="2" max="2" width="23.625" customWidth="1"/>
    <col min="3" max="3" width="18.5" customWidth="1"/>
    <col min="4" max="4" width="19.625" customWidth="1"/>
    <col min="5" max="5" width="22" customWidth="1"/>
    <col min="6" max="6" width="13.25" customWidth="1"/>
  </cols>
  <sheetData>
    <row r="2" spans="2:8" ht="25.5">
      <c r="B2" s="59" t="s">
        <v>422</v>
      </c>
    </row>
    <row r="3" spans="2:8" ht="26.25" thickBot="1">
      <c r="B3" s="59"/>
    </row>
    <row r="4" spans="2:8" ht="19.5">
      <c r="B4" s="60" t="s">
        <v>230</v>
      </c>
    </row>
    <row r="5" spans="2:8" ht="19.5">
      <c r="B5" s="61" t="s">
        <v>231</v>
      </c>
    </row>
    <row r="6" spans="2:8" ht="20.25" thickBot="1">
      <c r="B6" s="62" t="s">
        <v>54</v>
      </c>
    </row>
    <row r="8" spans="2:8" ht="19.5">
      <c r="B8" s="65" t="s">
        <v>423</v>
      </c>
    </row>
    <row r="9" spans="2:8" ht="19.5">
      <c r="B9" s="43" t="s">
        <v>424</v>
      </c>
      <c r="C9" s="2" t="s">
        <v>425</v>
      </c>
      <c r="D9" s="2"/>
      <c r="E9" s="2"/>
      <c r="F9" s="2"/>
      <c r="G9" s="2"/>
      <c r="H9" s="2"/>
    </row>
    <row r="10" spans="2:8" ht="19.5">
      <c r="B10" s="105" t="s">
        <v>426</v>
      </c>
      <c r="C10" s="2"/>
      <c r="D10" s="2"/>
      <c r="E10" s="2"/>
    </row>
    <row r="11" spans="2:8" ht="19.5">
      <c r="B11" s="24" t="s">
        <v>427</v>
      </c>
      <c r="C11" s="104">
        <v>9.69</v>
      </c>
      <c r="D11" s="104" t="s">
        <v>428</v>
      </c>
      <c r="E11" s="24" t="s">
        <v>429</v>
      </c>
      <c r="F11" s="24" t="s">
        <v>430</v>
      </c>
    </row>
    <row r="12" spans="2:8" ht="19.5">
      <c r="B12" s="24" t="s">
        <v>431</v>
      </c>
      <c r="C12" s="104">
        <v>4.46</v>
      </c>
      <c r="D12" s="104" t="s">
        <v>432</v>
      </c>
      <c r="E12" s="24" t="s">
        <v>429</v>
      </c>
      <c r="F12" s="24" t="s">
        <v>430</v>
      </c>
    </row>
    <row r="14" spans="2:8" ht="19.5">
      <c r="B14" s="24" t="s">
        <v>433</v>
      </c>
      <c r="C14" s="161">
        <v>1</v>
      </c>
      <c r="D14" s="24"/>
      <c r="E14" s="43" t="s">
        <v>434</v>
      </c>
    </row>
    <row r="15" spans="2:8" ht="19.5">
      <c r="B15" s="24" t="s">
        <v>435</v>
      </c>
      <c r="C15" s="104">
        <v>300</v>
      </c>
      <c r="D15" s="24" t="s">
        <v>92</v>
      </c>
    </row>
    <row r="16" spans="2:8" ht="19.5">
      <c r="B16" s="24" t="s">
        <v>436</v>
      </c>
      <c r="C16" s="104">
        <v>60</v>
      </c>
      <c r="D16" s="24" t="s">
        <v>92</v>
      </c>
    </row>
    <row r="17" spans="2:7" ht="19.5">
      <c r="B17" s="24" t="s">
        <v>437</v>
      </c>
      <c r="C17" s="103">
        <f>(((C15-C16)*C14+C16)/1000)*24</f>
        <v>7.1999999999999993</v>
      </c>
      <c r="D17" s="24" t="s">
        <v>438</v>
      </c>
    </row>
    <row r="19" spans="2:7" ht="19.5">
      <c r="B19" s="69" t="s">
        <v>439</v>
      </c>
      <c r="C19" s="69" t="s">
        <v>440</v>
      </c>
      <c r="D19" s="69" t="s">
        <v>441</v>
      </c>
      <c r="E19" s="69"/>
      <c r="F19" s="69"/>
    </row>
    <row r="20" spans="2:7" ht="19.5">
      <c r="B20" s="102" t="s">
        <v>442</v>
      </c>
      <c r="C20" s="103">
        <f>9.69-0.66</f>
        <v>9.0299999999999994</v>
      </c>
      <c r="D20" s="103">
        <f>4.46-0.57</f>
        <v>3.89</v>
      </c>
      <c r="E20" s="102" t="s">
        <v>429</v>
      </c>
      <c r="F20" s="24" t="s">
        <v>430</v>
      </c>
      <c r="G20" s="2" t="s">
        <v>443</v>
      </c>
    </row>
    <row r="21" spans="2:7" ht="19.5">
      <c r="B21" s="102" t="s">
        <v>444</v>
      </c>
      <c r="C21" s="160">
        <f>C20/$C$17</f>
        <v>1.2541666666666667</v>
      </c>
      <c r="D21" s="160">
        <f>D20/$C$17</f>
        <v>0.54027777777777786</v>
      </c>
      <c r="E21" s="102" t="s">
        <v>124</v>
      </c>
      <c r="F21" s="24" t="s">
        <v>430</v>
      </c>
    </row>
    <row r="24" spans="2:7">
      <c r="B24" s="5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5496E-50C8-49B5-9D59-AB431051A8B5}">
  <sheetPr>
    <tabColor rgb="FF003F79"/>
  </sheetPr>
  <dimension ref="B2:G27"/>
  <sheetViews>
    <sheetView showGridLines="0" zoomScale="85" zoomScaleNormal="85" workbookViewId="0"/>
  </sheetViews>
  <sheetFormatPr defaultRowHeight="15"/>
  <cols>
    <col min="2" max="2" width="16.75" customWidth="1"/>
    <col min="3" max="3" width="17.625" customWidth="1"/>
    <col min="4" max="4" width="12.5" customWidth="1"/>
    <col min="5" max="5" width="14.625" customWidth="1"/>
    <col min="6" max="6" width="18.625" customWidth="1"/>
    <col min="7" max="7" width="30.875" customWidth="1"/>
  </cols>
  <sheetData>
    <row r="2" spans="2:7" ht="25.5">
      <c r="B2" s="59" t="s">
        <v>445</v>
      </c>
    </row>
    <row r="3" spans="2:7" ht="25.5">
      <c r="B3" s="59"/>
    </row>
    <row r="4" spans="2:7">
      <c r="B4" s="127" t="s">
        <v>446</v>
      </c>
      <c r="C4" s="129" t="s">
        <v>447</v>
      </c>
      <c r="D4" s="130"/>
      <c r="E4" s="127" t="s">
        <v>448</v>
      </c>
      <c r="F4" s="127" t="s">
        <v>449</v>
      </c>
      <c r="G4" s="127" t="s">
        <v>450</v>
      </c>
    </row>
    <row r="5" spans="2:7" ht="12.75" customHeight="1">
      <c r="B5" s="193" t="s">
        <v>451</v>
      </c>
      <c r="C5" s="156" t="s">
        <v>452</v>
      </c>
      <c r="D5" s="131"/>
      <c r="E5" s="162">
        <f>(C22/1000)/(Calculator!C30*-1)</f>
        <v>4.9084320990465932E-2</v>
      </c>
      <c r="F5" s="191" t="s">
        <v>453</v>
      </c>
      <c r="G5" s="191"/>
    </row>
    <row r="6" spans="2:7">
      <c r="B6" s="194"/>
      <c r="C6" s="143">
        <f>SUM(Backend!K21:K22)</f>
        <v>235790</v>
      </c>
      <c r="D6" s="132" t="s">
        <v>44</v>
      </c>
      <c r="E6" s="128" t="s">
        <v>454</v>
      </c>
      <c r="F6" s="192"/>
      <c r="G6" s="192"/>
    </row>
    <row r="7" spans="2:7" ht="16.5" customHeight="1">
      <c r="B7" s="194"/>
      <c r="C7" s="139" t="s">
        <v>455</v>
      </c>
      <c r="D7" s="134"/>
      <c r="E7" s="128"/>
      <c r="F7" s="192"/>
      <c r="G7" s="192"/>
    </row>
    <row r="8" spans="2:7">
      <c r="B8" s="194"/>
      <c r="C8" s="135">
        <v>6.9900000000000004E-2</v>
      </c>
      <c r="D8" s="136"/>
      <c r="E8" s="128"/>
      <c r="F8" s="192"/>
      <c r="G8" s="192"/>
    </row>
    <row r="9" spans="2:7" ht="16.5" customHeight="1">
      <c r="B9" s="194"/>
      <c r="C9" s="133" t="s">
        <v>456</v>
      </c>
      <c r="D9" s="134"/>
      <c r="E9" s="128"/>
      <c r="F9" s="192"/>
      <c r="G9" s="192"/>
    </row>
    <row r="10" spans="2:7">
      <c r="B10" s="194"/>
      <c r="C10" s="137">
        <f>C8*C6</f>
        <v>16481.721000000001</v>
      </c>
      <c r="D10" s="140"/>
      <c r="E10" s="128"/>
      <c r="F10" s="192"/>
      <c r="G10" s="192"/>
    </row>
    <row r="11" spans="2:7" ht="15" customHeight="1">
      <c r="B11" s="194"/>
      <c r="C11" s="139" t="s">
        <v>457</v>
      </c>
      <c r="D11" s="134"/>
      <c r="E11" s="128"/>
      <c r="F11" s="192"/>
      <c r="G11" s="192"/>
    </row>
    <row r="12" spans="2:7">
      <c r="B12" s="194"/>
      <c r="C12" s="142">
        <v>560</v>
      </c>
      <c r="D12" s="138" t="s">
        <v>458</v>
      </c>
      <c r="E12" s="128"/>
      <c r="F12" s="192"/>
      <c r="G12" s="192"/>
    </row>
    <row r="13" spans="2:7">
      <c r="B13" s="194"/>
      <c r="C13" s="139" t="s">
        <v>459</v>
      </c>
      <c r="D13" s="134"/>
      <c r="E13" s="128"/>
      <c r="F13" s="192"/>
      <c r="G13" s="192"/>
    </row>
    <row r="14" spans="2:7">
      <c r="B14" s="194"/>
      <c r="C14" s="143">
        <v>67636134</v>
      </c>
      <c r="D14" s="138" t="s">
        <v>460</v>
      </c>
      <c r="E14" s="128"/>
      <c r="F14" s="192"/>
      <c r="G14" s="192"/>
    </row>
    <row r="15" spans="2:7">
      <c r="B15" s="194"/>
      <c r="C15" s="139" t="s">
        <v>461</v>
      </c>
      <c r="D15" s="134"/>
      <c r="E15" s="128"/>
      <c r="F15" s="192"/>
      <c r="G15" s="192"/>
    </row>
    <row r="16" spans="2:7" ht="25.5">
      <c r="B16" s="194"/>
      <c r="C16" s="143">
        <f>(C12*1000000000)/C14</f>
        <v>8279.5980030437568</v>
      </c>
      <c r="D16" s="138" t="s">
        <v>462</v>
      </c>
      <c r="E16" s="128"/>
      <c r="F16" s="192"/>
      <c r="G16" s="192"/>
    </row>
    <row r="17" spans="2:7">
      <c r="B17" s="194"/>
      <c r="C17" s="139" t="s">
        <v>463</v>
      </c>
      <c r="D17" s="134"/>
      <c r="E17" s="128"/>
      <c r="F17" s="192"/>
      <c r="G17" s="192"/>
    </row>
    <row r="18" spans="2:7">
      <c r="B18" s="194"/>
      <c r="C18" s="137">
        <v>34444</v>
      </c>
      <c r="D18" s="138"/>
      <c r="E18" s="128"/>
      <c r="F18" s="192"/>
      <c r="G18" s="192"/>
    </row>
    <row r="19" spans="2:7">
      <c r="B19" s="194"/>
      <c r="C19" s="139" t="s">
        <v>464</v>
      </c>
      <c r="D19" s="134"/>
      <c r="E19" s="128"/>
      <c r="F19" s="192"/>
      <c r="G19" s="192"/>
    </row>
    <row r="20" spans="2:7">
      <c r="B20" s="194"/>
      <c r="C20" s="141">
        <f>C16/C18</f>
        <v>0.2403785275532388</v>
      </c>
      <c r="D20" s="138" t="s">
        <v>465</v>
      </c>
      <c r="E20" s="128"/>
      <c r="F20" s="192"/>
      <c r="G20" s="192"/>
    </row>
    <row r="21" spans="2:7">
      <c r="B21" s="194"/>
      <c r="C21" s="139" t="s">
        <v>466</v>
      </c>
      <c r="D21" s="134"/>
      <c r="E21" s="128"/>
      <c r="F21" s="192"/>
      <c r="G21" s="192"/>
    </row>
    <row r="22" spans="2:7">
      <c r="B22" s="194"/>
      <c r="C22" s="141">
        <f>C20*C10</f>
        <v>3961.8518255232948</v>
      </c>
      <c r="D22" s="138" t="s">
        <v>77</v>
      </c>
      <c r="E22" s="128"/>
      <c r="F22" s="192"/>
      <c r="G22" s="192"/>
    </row>
    <row r="24" spans="2:7">
      <c r="B24" t="s">
        <v>467</v>
      </c>
      <c r="D24" s="77" t="s">
        <v>468</v>
      </c>
    </row>
    <row r="25" spans="2:7">
      <c r="B25" t="s">
        <v>469</v>
      </c>
      <c r="D25" s="77" t="s">
        <v>470</v>
      </c>
    </row>
    <row r="26" spans="2:7">
      <c r="B26" t="s">
        <v>471</v>
      </c>
      <c r="D26" s="77" t="s">
        <v>472</v>
      </c>
    </row>
    <row r="27" spans="2:7">
      <c r="B27" t="s">
        <v>473</v>
      </c>
      <c r="D27" s="77" t="s">
        <v>474</v>
      </c>
    </row>
  </sheetData>
  <mergeCells count="3">
    <mergeCell ref="G5:G22"/>
    <mergeCell ref="F5:F22"/>
    <mergeCell ref="B5:B22"/>
  </mergeCells>
  <hyperlinks>
    <hyperlink ref="D24" r:id="rId1" display="https://view.officeapps.live.com/op/view.aspx?src=https%3A%2F%2Fassets.publishing.service.gov.uk%2Fmedia%2F682213d3d9c9bb76078f7f67%2Fcarbon_footprint_statistical_release_figures_and_tables_dataset.ods&amp;wdOrigin=BROWSELINK" xr:uid="{B8BE4C37-4A46-4F72-BA49-81C71B75A5DA}"/>
    <hyperlink ref="D25" r:id="rId2" display="https://www.ons.gov.uk/peoplepopulationandcommunity/populationandmigration/populationestimates/datasets/populationestimatesforukenglandandwalesscotlandandnorthernireland" xr:uid="{7F633F8C-A45D-4D7A-B9AD-82760E1B03C9}"/>
    <hyperlink ref="D26" r:id="rId3" location="nogo" xr:uid="{073A2F8A-5CE9-4138-A6F2-D48FADEC5A58}"/>
    <hyperlink ref="D27" r:id="rId4" xr:uid="{95AACE17-AF84-4E98-97D2-F0237FCD565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04c5165-4bd4-4c8a-a40e-5701edfc4e4f" xsi:nil="true"/>
    <lcf76f155ced4ddcb4097134ff3c332f xmlns="b9bdbf82-f34d-47d4-a4b8-414c81da163d">
      <Terms xmlns="http://schemas.microsoft.com/office/infopath/2007/PartnerControls"/>
    </lcf76f155ced4ddcb4097134ff3c332f>
    <TranslatedLang xmlns="b9bdbf82-f34d-47d4-a4b8-414c81da163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9884CFDACAA4A4391E63416A81F8F9C" ma:contentTypeVersion="13" ma:contentTypeDescription="Create a new document." ma:contentTypeScope="" ma:versionID="e9008accf46ca8563d2d2a2de20db013">
  <xsd:schema xmlns:xsd="http://www.w3.org/2001/XMLSchema" xmlns:xs="http://www.w3.org/2001/XMLSchema" xmlns:p="http://schemas.microsoft.com/office/2006/metadata/properties" xmlns:ns2="b9bdbf82-f34d-47d4-a4b8-414c81da163d" xmlns:ns3="f04c5165-4bd4-4c8a-a40e-5701edfc4e4f" targetNamespace="http://schemas.microsoft.com/office/2006/metadata/properties" ma:root="true" ma:fieldsID="468ccd572510d7ebc0e69b608f5dabec" ns2:_="" ns3:_="">
    <xsd:import namespace="b9bdbf82-f34d-47d4-a4b8-414c81da163d"/>
    <xsd:import namespace="f04c5165-4bd4-4c8a-a40e-5701edfc4e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TranslatedLang"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bdbf82-f34d-47d4-a4b8-414c81da16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6b3755e-5856-4399-9d86-976471c28120"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TranslatedLang" ma:index="19" nillable="true" ma:displayName="Translated Language" ma:internalName="TranslatedLang">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4c5165-4bd4-4c8a-a40e-5701edfc4e4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bc8f3db-0d25-4d0b-b0ab-548255e2df34}" ma:internalName="TaxCatchAll" ma:showField="CatchAllData" ma:web="f04c5165-4bd4-4c8a-a40e-5701edfc4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23690A-85BF-4C4A-9C4C-417567B4A520}"/>
</file>

<file path=customXml/itemProps2.xml><?xml version="1.0" encoding="utf-8"?>
<ds:datastoreItem xmlns:ds="http://schemas.openxmlformats.org/officeDocument/2006/customXml" ds:itemID="{4CD19372-FF1F-488D-B627-4FB75E4827EB}"/>
</file>

<file path=customXml/itemProps3.xml><?xml version="1.0" encoding="utf-8"?>
<ds:datastoreItem xmlns:ds="http://schemas.openxmlformats.org/officeDocument/2006/customXml" ds:itemID="{D97CFAE1-BBDA-4D83-B305-9ABA03F704D1}"/>
</file>

<file path=docMetadata/LabelInfo.xml><?xml version="1.0" encoding="utf-8"?>
<clbl:labelList xmlns:clbl="http://schemas.microsoft.com/office/2020/mipLabelMetadata">
  <clbl:label id="{96e14e5a-57ac-48d7-851d-12f54eff5a60}" enabled="0" method="" siteId="{96e14e5a-57ac-48d7-851d-12f54eff5a60}"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Beatriz Fialho da Silva</dc:creator>
  <cp:keywords/>
  <dc:description/>
  <cp:lastModifiedBy/>
  <cp:revision/>
  <dcterms:created xsi:type="dcterms:W3CDTF">2021-03-04T12:00:57Z</dcterms:created>
  <dcterms:modified xsi:type="dcterms:W3CDTF">2026-05-05T08:24:54Z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0x01010039884CFDACAA4A4391E63416A81F8F9C</vt:lpwstr>
  </property>
  <property fmtid="{D5CDD505-2E9C-101B-9397-08002B2CF9AE}" pid="3" name="CustomerId">
    <vt:lpwstr>carbontrust</vt:lpwstr>
  </property>
  <property fmtid="{D5CDD505-2E9C-101B-9397-08002B2CF9AE}" pid="4" name="TemplateId">
    <vt:lpwstr>637511402857749439</vt:lpwstr>
  </property>
  <property fmtid="{D5CDD505-2E9C-101B-9397-08002B2CF9AE}" pid="5" name="UserProfileId">
    <vt:lpwstr>637465589768188597</vt:lpwstr>
  </property>
  <property fmtid="{D5CDD505-2E9C-101B-9397-08002B2CF9AE}" pid="6" name="MediaServiceImageTags">
    <vt:lpwstr/>
  </property>
</Properties>
</file>