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1. Batch 1 - July 2025/01. NEC/4. Case study Calculator/"/>
    </mc:Choice>
  </mc:AlternateContent>
  <xr:revisionPtr revIDLastSave="10" documentId="8_{5D9D2634-2640-4969-8D15-7EEBF8DFA951}" xr6:coauthVersionLast="47" xr6:coauthVersionMax="47" xr10:uidLastSave="{CF003463-0F59-4E1E-8C69-2003C4D1FA2B}"/>
  <bookViews>
    <workbookView xWindow="-120" yWindow="-120" windowWidth="29040" windowHeight="15720" tabRatio="840" xr2:uid="{42F47BA1-31A0-4C4E-A5E0-B3798BF6F1A8}"/>
  </bookViews>
  <sheets>
    <sheet name="Disclaimer" sheetId="20" r:id="rId1"/>
    <sheet name="Calculator" sheetId="9" r:id="rId2"/>
    <sheet name="Backend" sheetId="10" r:id="rId3"/>
    <sheet name="Uncertainty Analysis" sheetId="18" r:id="rId4"/>
    <sheet name="Sensitivity Analysis" sheetId="19" r:id="rId5"/>
    <sheet name="Reference Data" sheetId="25" r:id="rId6"/>
    <sheet name="First Order Effects" sheetId="22" r:id="rId7"/>
    <sheet name="Emission Factors" sheetId="24" r:id="rId8"/>
    <sheet name="Higher Order Effects" sheetId="26" r:id="rId9"/>
  </sheets>
  <definedNames>
    <definedName name="_1st_order_effect___Totalcorn">Backend!$M$42</definedName>
    <definedName name="_1st_order_effect___Totalspring_wheat">Backend!$O$42</definedName>
    <definedName name="_1st_order_effect___Totalwinter_wheat">Backend!$N$42</definedName>
    <definedName name="_Int_D7iP9qsx" localSheetId="8">'Higher Order Effects'!$C$3</definedName>
    <definedName name="backend_Corn_fertiliser_base_direct_emissions">Backend!$M$6</definedName>
    <definedName name="corn_ha_reference">'Reference Data'!$E$14</definedName>
    <definedName name="corn_ha_solution">'Reference Data'!$E$22</definedName>
    <definedName name="corn_yield_reference">'Reference Data'!$E$7</definedName>
    <definedName name="corn_yield_solution">'Reference Data'!$E$15</definedName>
    <definedName name="electric_massflow_controller_embedded_emissions">'First Order Effects'!$E$18</definedName>
    <definedName name="Electric_MassFlow_Controller_embedded_emissionscorn">Backend!$M$39</definedName>
    <definedName name="Electric_MassFlow_Controller_embedded_emissionsspring_wheat">Backend!$O$39</definedName>
    <definedName name="Electric_MassFlow_Controller_embedded_emissionswinter_wheat">Backend!$N$39</definedName>
    <definedName name="Electric_MassFlow_Controller_use_phase_emissionscorn">Backend!$M$40</definedName>
    <definedName name="Electric_MassFlow_Controller_use_phase_emissionsspring_wheat">Backend!$O$40</definedName>
    <definedName name="Electric_MassFlow_Controller_use_phase_emissionswinter_wheat">Backend!$N$40</definedName>
    <definedName name="Electric_MassFlow_Controllerefficiencuy">'First Order Effects'!$C$13</definedName>
    <definedName name="end_of_life_emissions">'First Order Effects'!$E$19</definedName>
    <definedName name="End_of_life_MassFlow_Controller_Emissions_corn">Backend!$M$41</definedName>
    <definedName name="End_of_life_MassFlow_Controller_Emissions_spring_wheat">Backend!$O$41</definedName>
    <definedName name="End_of_life_MassFlow_Controller_Emissions_winter_wheat">Backend!$N$41</definedName>
    <definedName name="fertiliser_base_direct_emissions_corn">Backend!$M$6</definedName>
    <definedName name="ha_winterwheat_reference">Backend!$E$34</definedName>
    <definedName name="ha_winterwheat_solution">Backend!$F$34</definedName>
    <definedName name="Indirect_Emissions_Step_2__leaching">'Reference Data'!$C$45</definedName>
    <definedName name="Indirect_Emissions_Step_2__volatilisation">'Reference Data'!$B$45</definedName>
    <definedName name="Monitor_use_phase_emissionscorn">Backend!$M$38</definedName>
    <definedName name="Monitor_use_phase_emissionsspring_wheat">Backend!$O$38</definedName>
    <definedName name="Monitor_use_phase_emissionswinter_wheat">Backend!$N$38</definedName>
    <definedName name="Monitorefficiency">'First Order Effects'!$C$12</definedName>
    <definedName name="ReferenceAdditional_fertilise_use_indirect_emissionsCORN">Backend!$M$10</definedName>
    <definedName name="ReferenceAdditional_fertilise_use_indirect_emissionsSPRING_WHEAT">Backend!$O$10</definedName>
    <definedName name="ReferenceAdditional_fertiliser_use_direct_emissionsCORN">Backend!$M$9</definedName>
    <definedName name="ReferenceAdditional_fertiliser_use_direct_emissionsSPRING_WHEAT">Backend!$O$9</definedName>
    <definedName name="ReferenceFertiliser_Base_use_direct_emissionsSPRING_WHEAT">Backend!$O$6</definedName>
    <definedName name="ReferenceFertiliser_Base_use_direct_emissionsWINTER_WHEAT">Backend!$N$6</definedName>
    <definedName name="ReferenceFertiliser_Base_use_indirect_emissionsCORN">Backend!$M$7</definedName>
    <definedName name="ReferenceFertiliser_Base_use_indirect_emissionsSPRING_WHEAT">Backend!$O$7</definedName>
    <definedName name="ReferenceFertiliser_Base_use_indirect_emissionsWINTER_WHEAT">Backend!$N$7</definedName>
    <definedName name="ReferenceSecond_additional_fertilise_use_indirect_emissionsCORN">Backend!$M$13</definedName>
    <definedName name="ReferenceSecond_additional_fertiliser_use_direct_emissionsCORN">Backend!$M$12</definedName>
    <definedName name="referenceSum_of_all_fertiliser_emissions_CORN">Backend!$M$16</definedName>
    <definedName name="ReferenceSum_of_all_Fertiliser_EmissionsSPRING_WHEAT">Backend!$O$16</definedName>
    <definedName name="ReferenceTotal_Emissions_Additional_FertiliserCORN">Backend!$M$11</definedName>
    <definedName name="ReferenceTotal_Emissions_Additional_FertiliserSPRING_WHEAT">Backend!$O$11</definedName>
    <definedName name="ReferenceTotal_Emissions_Base_FertiliserCORN">Backend!$M$8</definedName>
    <definedName name="ReferenceTotal_Emissions_Base_FertiliserSPRING_WHEAT">Backend!$O$8</definedName>
    <definedName name="ReferenceTotal_Emissions_Base_FertiliserWINTER_WHEAT">Backend!$N$16</definedName>
    <definedName name="ReferenceTotal_emissions_second_additional_fertiliser_CORN">Backend!$M$14</definedName>
    <definedName name="ReferenceTotal_Fertiliser_per__hectar_emissionsCORN">Backend!$M$17</definedName>
    <definedName name="ReferenceTotal_Fertiliser_per__hectar_emissionsSPRING_WHEAT">Backend!$O$17</definedName>
    <definedName name="ReferenceTotal_Fertiliser_per__hectar_emissionsWINTER_WHEAT">Backend!$N$17</definedName>
    <definedName name="solutionAdditional_fertilise_use_indirect_emissionsCORN">Backend!$M$26</definedName>
    <definedName name="solutionAdditional_fertilise_use_indirect_emissionsSPRING_WHEAT">Backend!$O$26</definedName>
    <definedName name="solutionAdditional_fertiliser_use_direct_emissionsCORN">Backend!$M$25</definedName>
    <definedName name="solutionAdditional_fertiliser_use_direct_emissionsSPRING_WHEAT">Backend!$O$25</definedName>
    <definedName name="solutionFertiliser_Base_use_direct_emissions_CORN">Backend!$M$22</definedName>
    <definedName name="solutionFertiliser_Base_use_direct_emissionsSPRING_WHEAT">Backend!$O$22</definedName>
    <definedName name="solutionFertiliser_Base_use_direct_emissionsWINTER_WHEAT">Backend!$N$22</definedName>
    <definedName name="solutionFertiliser_Base_use_indirect_emissionsSPRING_WHEAT">Backend!$O$23</definedName>
    <definedName name="solutionFertiliser_Base_use_indirect_emissionsWINTER_WHEAT">Backend!$N$23</definedName>
    <definedName name="solutionSecond_additional_fertilise_use_indirect_emissionsCORN">Backend!$M$29</definedName>
    <definedName name="solutionSecond_additional_fertiliser_use_direct_emissionsCORN">Backend!$M$28</definedName>
    <definedName name="solutionSum_of_all_Fertiliser_EmissionsCORN">Backend!$M$32</definedName>
    <definedName name="solutionSum_of_all_Fertiliser_EmissionsSPRING_WHEAT">Backend!$O$32</definedName>
    <definedName name="solutionTotal_Emissions_Additional_FertiliserCORN">Backend!$M$27</definedName>
    <definedName name="solutionTotal_Emissions_Additional_FertiliserSPRING_WHEAT">Backend!$O$27</definedName>
    <definedName name="solutionTotal_Emissions_Base_FertiliserCORN">Backend!$M$24</definedName>
    <definedName name="solutionTotal_Emissions_Base_FertiliserSPRING_WHEAT">Backend!$O$24</definedName>
    <definedName name="solutionTotal_Emissions_Base_FertiliserWINTER_WHEAT">Backend!$N$32</definedName>
    <definedName name="solutionTotal_Emissions_Second_Additional_FertiliserCORN">Backend!$M$30</definedName>
    <definedName name="solutionTotal_Fertiliser_per__hectar_emissionsCORN">Backend!$M$33</definedName>
    <definedName name="solutionTotal_Fertiliser_per__hectar_emissionsSPRING_WHEAT">Backend!$O$33</definedName>
    <definedName name="solutionTotal_Fertiliser_per__hectar_emissionsWINTER_WHEAT">Backend!$N$33</definedName>
    <definedName name="solutonFertiliser_Base_use_indirect_emissionsCORN">Backend!$M$23</definedName>
    <definedName name="yield_winterwheat_reference">Backend!$E$32</definedName>
    <definedName name="yield_winterwheat_solution">Backend!$F$32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9" l="1"/>
  <c r="B20" i="19"/>
  <c r="D26" i="19"/>
  <c r="N26" i="19" s="1"/>
  <c r="C26" i="19"/>
  <c r="D25" i="19"/>
  <c r="N25" i="19" s="1"/>
  <c r="C25" i="19"/>
  <c r="D24" i="19"/>
  <c r="N24" i="19" s="1"/>
  <c r="C24" i="19"/>
  <c r="D23" i="19"/>
  <c r="N23" i="19" s="1"/>
  <c r="C23" i="19"/>
  <c r="D22" i="19"/>
  <c r="N22" i="19" s="1"/>
  <c r="C22" i="19"/>
  <c r="N21" i="19"/>
  <c r="D21" i="19"/>
  <c r="C21" i="19"/>
  <c r="D19" i="19"/>
  <c r="N19" i="19" s="1"/>
  <c r="C19" i="19"/>
  <c r="D18" i="19"/>
  <c r="N18" i="19" s="1"/>
  <c r="C18" i="19"/>
  <c r="D17" i="19"/>
  <c r="C17" i="19"/>
  <c r="D16" i="19"/>
  <c r="C16" i="19"/>
  <c r="D15" i="19"/>
  <c r="C15" i="19"/>
  <c r="D14" i="19"/>
  <c r="C14" i="19"/>
  <c r="B6" i="19"/>
  <c r="P42" i="18"/>
  <c r="E21" i="19" s="1"/>
  <c r="P35" i="18"/>
  <c r="E14" i="19" s="1"/>
  <c r="P28" i="18"/>
  <c r="B41" i="18"/>
  <c r="B34" i="18"/>
  <c r="B27" i="18"/>
  <c r="N47" i="18"/>
  <c r="M47" i="18"/>
  <c r="L47" i="18"/>
  <c r="K47" i="18"/>
  <c r="J47" i="18"/>
  <c r="O47" i="18" s="1"/>
  <c r="N46" i="18"/>
  <c r="M46" i="18"/>
  <c r="L46" i="18"/>
  <c r="K46" i="18"/>
  <c r="J46" i="18"/>
  <c r="O46" i="18" s="1"/>
  <c r="N45" i="18"/>
  <c r="M45" i="18"/>
  <c r="L45" i="18"/>
  <c r="K45" i="18"/>
  <c r="J45" i="18"/>
  <c r="O45" i="18" s="1"/>
  <c r="N44" i="18"/>
  <c r="M44" i="18"/>
  <c r="L44" i="18"/>
  <c r="K44" i="18"/>
  <c r="J44" i="18"/>
  <c r="O44" i="18" s="1"/>
  <c r="N43" i="18"/>
  <c r="M43" i="18"/>
  <c r="L43" i="18"/>
  <c r="O43" i="18" s="1"/>
  <c r="K43" i="18"/>
  <c r="J43" i="18"/>
  <c r="N42" i="18"/>
  <c r="M42" i="18"/>
  <c r="L42" i="18"/>
  <c r="K42" i="18"/>
  <c r="J42" i="18"/>
  <c r="O42" i="18" s="1"/>
  <c r="N40" i="18"/>
  <c r="M40" i="18"/>
  <c r="L40" i="18"/>
  <c r="K40" i="18"/>
  <c r="J40" i="18"/>
  <c r="O40" i="18" s="1"/>
  <c r="N39" i="18"/>
  <c r="M39" i="18"/>
  <c r="L39" i="18"/>
  <c r="K39" i="18"/>
  <c r="J39" i="18"/>
  <c r="O39" i="18" s="1"/>
  <c r="N38" i="18"/>
  <c r="M38" i="18"/>
  <c r="L38" i="18"/>
  <c r="K38" i="18"/>
  <c r="J38" i="18"/>
  <c r="O38" i="18" s="1"/>
  <c r="N37" i="18"/>
  <c r="M37" i="18"/>
  <c r="L37" i="18"/>
  <c r="K37" i="18"/>
  <c r="J37" i="18"/>
  <c r="O37" i="18" s="1"/>
  <c r="N36" i="18"/>
  <c r="M36" i="18"/>
  <c r="L36" i="18"/>
  <c r="K36" i="18"/>
  <c r="J36" i="18"/>
  <c r="N35" i="18"/>
  <c r="M35" i="18"/>
  <c r="L35" i="18"/>
  <c r="K35" i="18"/>
  <c r="J35" i="18"/>
  <c r="O35" i="18" s="1"/>
  <c r="D21" i="18"/>
  <c r="D20" i="18"/>
  <c r="D19" i="18"/>
  <c r="D15" i="18"/>
  <c r="D14" i="18"/>
  <c r="D13" i="18"/>
  <c r="N33" i="18"/>
  <c r="N32" i="18"/>
  <c r="N31" i="18"/>
  <c r="N30" i="18"/>
  <c r="N29" i="18"/>
  <c r="N28" i="18"/>
  <c r="M33" i="18"/>
  <c r="M32" i="18"/>
  <c r="M31" i="18"/>
  <c r="M30" i="18"/>
  <c r="M29" i="18"/>
  <c r="M28" i="18"/>
  <c r="L33" i="18"/>
  <c r="L32" i="18"/>
  <c r="L31" i="18"/>
  <c r="L30" i="18"/>
  <c r="L29" i="18"/>
  <c r="L28" i="18"/>
  <c r="K33" i="18"/>
  <c r="K32" i="18"/>
  <c r="K31" i="18"/>
  <c r="K30" i="18"/>
  <c r="K29" i="18"/>
  <c r="K28" i="18"/>
  <c r="J33" i="18"/>
  <c r="J32" i="18"/>
  <c r="J31" i="18"/>
  <c r="J30" i="18"/>
  <c r="J29" i="18"/>
  <c r="J28" i="18"/>
  <c r="E30" i="10"/>
  <c r="E27" i="10" s="1"/>
  <c r="F26" i="10"/>
  <c r="N14" i="19" l="1"/>
  <c r="N17" i="19"/>
  <c r="N16" i="19"/>
  <c r="N15" i="19"/>
  <c r="I21" i="19"/>
  <c r="H21" i="19"/>
  <c r="I14" i="19"/>
  <c r="H14" i="19"/>
  <c r="O36" i="18"/>
  <c r="R42" i="18"/>
  <c r="Q42" i="18"/>
  <c r="R35" i="18"/>
  <c r="Q35" i="18"/>
  <c r="E29" i="10"/>
  <c r="E28" i="10"/>
  <c r="E65" i="10"/>
  <c r="B45" i="25" l="1"/>
  <c r="C45" i="25"/>
  <c r="B60" i="10" l="1"/>
  <c r="E26" i="10" l="1"/>
  <c r="E32" i="10"/>
  <c r="E34" i="10"/>
  <c r="E33" i="10" s="1"/>
  <c r="E36" i="10"/>
  <c r="E39" i="10"/>
  <c r="E37" i="10" s="1"/>
  <c r="F30" i="10"/>
  <c r="E35" i="10" l="1"/>
  <c r="E40" i="10"/>
  <c r="F31" i="10"/>
  <c r="P30" i="18" s="1"/>
  <c r="E31" i="10"/>
  <c r="F28" i="10"/>
  <c r="F29" i="10"/>
  <c r="F27" i="10"/>
  <c r="G30" i="10"/>
  <c r="E38" i="10"/>
  <c r="C32" i="9" l="1"/>
  <c r="G28" i="10"/>
  <c r="G29" i="10"/>
  <c r="E64" i="10"/>
  <c r="B64" i="10"/>
  <c r="M31" i="10" l="1"/>
  <c r="D21" i="24"/>
  <c r="D29" i="24"/>
  <c r="D30" i="24"/>
  <c r="D31" i="24"/>
  <c r="D28" i="24"/>
  <c r="D22" i="24" l="1"/>
  <c r="D23" i="24"/>
  <c r="D20" i="24"/>
  <c r="F34" i="10" l="1"/>
  <c r="F39" i="10"/>
  <c r="F33" i="10" l="1"/>
  <c r="G34" i="10"/>
  <c r="G39" i="10"/>
  <c r="F38" i="10"/>
  <c r="F37" i="10"/>
  <c r="E32" i="9" s="1"/>
  <c r="B55" i="10"/>
  <c r="N31" i="10" l="1"/>
  <c r="D32" i="9"/>
  <c r="G33" i="10"/>
  <c r="G38" i="10"/>
  <c r="G37" i="10"/>
  <c r="O31" i="10"/>
  <c r="E55" i="10"/>
  <c r="D47" i="10" l="1"/>
  <c r="E47" i="10"/>
  <c r="E46" i="10"/>
  <c r="E45" i="10"/>
  <c r="D46" i="10"/>
  <c r="D44" i="10"/>
  <c r="F32" i="10" l="1"/>
  <c r="C25" i="9" l="1"/>
  <c r="G26" i="10"/>
  <c r="G31" i="10"/>
  <c r="C26" i="9"/>
  <c r="F35" i="10"/>
  <c r="G32" i="10"/>
  <c r="E25" i="25"/>
  <c r="G35" i="10" l="1"/>
  <c r="P37" i="18"/>
  <c r="E58" i="10"/>
  <c r="E57" i="10"/>
  <c r="E56" i="10"/>
  <c r="Q37" i="18" l="1"/>
  <c r="R37" i="18"/>
  <c r="E16" i="19"/>
  <c r="H6" i="22"/>
  <c r="G6" i="22"/>
  <c r="F6" i="22"/>
  <c r="I16" i="19" l="1"/>
  <c r="H16" i="19"/>
  <c r="E7" i="22"/>
  <c r="E8" i="22"/>
  <c r="G8" i="22" s="1"/>
  <c r="H5" i="22"/>
  <c r="G5" i="22"/>
  <c r="F5" i="22"/>
  <c r="E4" i="22"/>
  <c r="P43" i="18" l="1"/>
  <c r="P36" i="18"/>
  <c r="P29" i="18"/>
  <c r="H7" i="22"/>
  <c r="F7" i="22"/>
  <c r="G7" i="22"/>
  <c r="F4" i="22"/>
  <c r="H8" i="22"/>
  <c r="H4" i="22"/>
  <c r="G4" i="22"/>
  <c r="F8" i="22"/>
  <c r="E18" i="22" l="1"/>
  <c r="E15" i="19"/>
  <c r="R36" i="18"/>
  <c r="Q36" i="18"/>
  <c r="E22" i="19"/>
  <c r="Q43" i="18"/>
  <c r="R43" i="18"/>
  <c r="D50" i="10"/>
  <c r="M39" i="10" s="1"/>
  <c r="C70" i="10"/>
  <c r="B70" i="10"/>
  <c r="E63" i="10"/>
  <c r="I22" i="19" l="1"/>
  <c r="H22" i="19"/>
  <c r="H15" i="19"/>
  <c r="I15" i="19"/>
  <c r="M9" i="10"/>
  <c r="N6" i="10"/>
  <c r="M10" i="10"/>
  <c r="M23" i="10"/>
  <c r="N23" i="10"/>
  <c r="O23" i="10"/>
  <c r="M26" i="10"/>
  <c r="N7" i="10"/>
  <c r="O22" i="10"/>
  <c r="O26" i="10"/>
  <c r="O7" i="10"/>
  <c r="O6" i="10"/>
  <c r="M13" i="10"/>
  <c r="O9" i="10"/>
  <c r="M29" i="10"/>
  <c r="O25" i="10"/>
  <c r="M12" i="10"/>
  <c r="O10" i="10"/>
  <c r="M28" i="10"/>
  <c r="M25" i="10"/>
  <c r="N22" i="10"/>
  <c r="M22" i="10"/>
  <c r="N39" i="10"/>
  <c r="O39" i="10"/>
  <c r="F36" i="10" l="1"/>
  <c r="F40" i="10" l="1"/>
  <c r="G36" i="10"/>
  <c r="E12" i="25"/>
  <c r="E13" i="25"/>
  <c r="E20" i="25"/>
  <c r="E21" i="25"/>
  <c r="E19" i="25"/>
  <c r="E35" i="25"/>
  <c r="E41" i="25"/>
  <c r="E29" i="25"/>
  <c r="E34" i="25"/>
  <c r="E60" i="10"/>
  <c r="E61" i="10"/>
  <c r="E19" i="22" s="1"/>
  <c r="E62" i="10"/>
  <c r="E59" i="10"/>
  <c r="E54" i="10"/>
  <c r="G40" i="10" l="1"/>
  <c r="P44" i="18"/>
  <c r="M38" i="10"/>
  <c r="E48" i="24" s="1"/>
  <c r="P31" i="18" s="1"/>
  <c r="E7" i="18" s="1"/>
  <c r="N38" i="10"/>
  <c r="F48" i="24" s="1"/>
  <c r="P38" i="18" s="1"/>
  <c r="O40" i="10"/>
  <c r="M40" i="10"/>
  <c r="O38" i="10"/>
  <c r="G48" i="24" s="1"/>
  <c r="P45" i="18" s="1"/>
  <c r="N40" i="10"/>
  <c r="D51" i="10"/>
  <c r="E11" i="25"/>
  <c r="E40" i="25"/>
  <c r="Q45" i="18" l="1"/>
  <c r="F19" i="18" s="1"/>
  <c r="R45" i="18"/>
  <c r="G19" i="18" s="1"/>
  <c r="E19" i="18"/>
  <c r="E24" i="19"/>
  <c r="R38" i="18"/>
  <c r="G13" i="18" s="1"/>
  <c r="Q38" i="18"/>
  <c r="F13" i="18" s="1"/>
  <c r="E13" i="18"/>
  <c r="E17" i="19"/>
  <c r="Q44" i="18"/>
  <c r="R44" i="18"/>
  <c r="E23" i="19"/>
  <c r="M41" i="10"/>
  <c r="N41" i="10"/>
  <c r="F49" i="24" s="1"/>
  <c r="P39" i="18" s="1"/>
  <c r="O41" i="10"/>
  <c r="G49" i="24" s="1"/>
  <c r="P46" i="18" s="1"/>
  <c r="B61" i="10"/>
  <c r="B62" i="10"/>
  <c r="B57" i="10"/>
  <c r="B58" i="10"/>
  <c r="B59" i="10"/>
  <c r="B56" i="10"/>
  <c r="B54" i="10"/>
  <c r="D39" i="10"/>
  <c r="C27" i="9"/>
  <c r="D22" i="10"/>
  <c r="D34" i="10"/>
  <c r="D18" i="10"/>
  <c r="D12" i="10"/>
  <c r="D15" i="10"/>
  <c r="D30" i="10" s="1"/>
  <c r="D11" i="10"/>
  <c r="D26" i="10" s="1"/>
  <c r="H24" i="19" l="1"/>
  <c r="I24" i="19"/>
  <c r="H17" i="19"/>
  <c r="I17" i="19"/>
  <c r="M42" i="10"/>
  <c r="M43" i="10" s="1"/>
  <c r="E49" i="24"/>
  <c r="P32" i="18" s="1"/>
  <c r="E8" i="18" s="1"/>
  <c r="R39" i="18"/>
  <c r="G14" i="18" s="1"/>
  <c r="Q39" i="18"/>
  <c r="F14" i="18" s="1"/>
  <c r="E14" i="18"/>
  <c r="E18" i="19"/>
  <c r="E25" i="19"/>
  <c r="H25" i="19" s="1"/>
  <c r="Q46" i="18"/>
  <c r="F20" i="18" s="1"/>
  <c r="E20" i="18"/>
  <c r="R46" i="18"/>
  <c r="G20" i="18" s="1"/>
  <c r="I23" i="19"/>
  <c r="H23" i="19"/>
  <c r="E26" i="9"/>
  <c r="E27" i="9"/>
  <c r="O30" i="18"/>
  <c r="E25" i="9"/>
  <c r="O33" i="18"/>
  <c r="O29" i="18"/>
  <c r="O32" i="18"/>
  <c r="O31" i="18"/>
  <c r="O28" i="18"/>
  <c r="Q28" i="18" s="1"/>
  <c r="D8" i="18"/>
  <c r="D9" i="18"/>
  <c r="D7" i="18"/>
  <c r="E8" i="19"/>
  <c r="E7" i="19"/>
  <c r="I7" i="19" s="1"/>
  <c r="D7" i="19"/>
  <c r="N7" i="19" s="1"/>
  <c r="D8" i="19"/>
  <c r="N8" i="19" s="1"/>
  <c r="D10" i="19"/>
  <c r="N10" i="19" s="1"/>
  <c r="D11" i="19"/>
  <c r="N11" i="19" s="1"/>
  <c r="D12" i="19"/>
  <c r="N12" i="19" s="1"/>
  <c r="C12" i="19"/>
  <c r="C11" i="19"/>
  <c r="C10" i="19"/>
  <c r="D9" i="19"/>
  <c r="N9" i="19" s="1"/>
  <c r="C9" i="19"/>
  <c r="C8" i="19"/>
  <c r="C7" i="19"/>
  <c r="I5" i="19"/>
  <c r="H5" i="19"/>
  <c r="E5" i="19"/>
  <c r="D5" i="19"/>
  <c r="C5" i="19"/>
  <c r="I25" i="19" l="1"/>
  <c r="M44" i="10"/>
  <c r="I18" i="19"/>
  <c r="H18" i="19"/>
  <c r="O42" i="10"/>
  <c r="N15" i="10"/>
  <c r="O15" i="10"/>
  <c r="O8" i="10"/>
  <c r="Q30" i="18"/>
  <c r="M30" i="10"/>
  <c r="M27" i="10"/>
  <c r="N42" i="10"/>
  <c r="N43" i="10" s="1"/>
  <c r="N24" i="10"/>
  <c r="O27" i="10"/>
  <c r="O24" i="10"/>
  <c r="H7" i="19"/>
  <c r="H8" i="19"/>
  <c r="I8" i="19"/>
  <c r="Q29" i="18"/>
  <c r="R29" i="18"/>
  <c r="R28" i="18"/>
  <c r="R31" i="18"/>
  <c r="Q31" i="18"/>
  <c r="F7" i="18" s="1"/>
  <c r="O44" i="10" l="1"/>
  <c r="O43" i="10"/>
  <c r="N44" i="10"/>
  <c r="O11" i="10"/>
  <c r="O16" i="10" s="1"/>
  <c r="O32" i="10"/>
  <c r="M24" i="10"/>
  <c r="M32" i="10" s="1"/>
  <c r="M33" i="10" s="1"/>
  <c r="M11" i="10"/>
  <c r="M14" i="10"/>
  <c r="N32" i="10"/>
  <c r="N33" i="10" s="1"/>
  <c r="N8" i="10"/>
  <c r="E9" i="19"/>
  <c r="R32" i="18"/>
  <c r="G8" i="18" s="1"/>
  <c r="Q32" i="18"/>
  <c r="F8" i="18" s="1"/>
  <c r="G7" i="18"/>
  <c r="R30" i="18"/>
  <c r="O54" i="10" l="1"/>
  <c r="M34" i="10"/>
  <c r="O17" i="10"/>
  <c r="O18" i="10"/>
  <c r="O34" i="10"/>
  <c r="N34" i="10"/>
  <c r="N16" i="10"/>
  <c r="O33" i="10"/>
  <c r="H9" i="19"/>
  <c r="I9" i="19"/>
  <c r="E11" i="19"/>
  <c r="E10" i="19"/>
  <c r="N17" i="10" l="1"/>
  <c r="N54" i="10"/>
  <c r="O48" i="10"/>
  <c r="N18" i="10"/>
  <c r="N48" i="10" s="1"/>
  <c r="H10" i="19"/>
  <c r="I10" i="19"/>
  <c r="H11" i="19"/>
  <c r="I11" i="19"/>
  <c r="O49" i="10" l="1"/>
  <c r="G50" i="24"/>
  <c r="P47" i="18" s="1"/>
  <c r="N49" i="10"/>
  <c r="F50" i="24"/>
  <c r="P40" i="18" s="1"/>
  <c r="E33" i="9" l="1"/>
  <c r="O50" i="10"/>
  <c r="E34" i="9" s="1"/>
  <c r="N50" i="10"/>
  <c r="D34" i="9" s="1"/>
  <c r="D33" i="9"/>
  <c r="E21" i="18"/>
  <c r="E22" i="18" s="1"/>
  <c r="R47" i="18"/>
  <c r="G21" i="18" s="1"/>
  <c r="G22" i="18" s="1"/>
  <c r="E38" i="9" s="1"/>
  <c r="E26" i="19"/>
  <c r="Q47" i="18"/>
  <c r="F21" i="18" s="1"/>
  <c r="F22" i="18" s="1"/>
  <c r="E15" i="18"/>
  <c r="E16" i="18" s="1"/>
  <c r="Q40" i="18"/>
  <c r="F15" i="18" s="1"/>
  <c r="F16" i="18" s="1"/>
  <c r="R40" i="18"/>
  <c r="G15" i="18" s="1"/>
  <c r="G16" i="18" s="1"/>
  <c r="D38" i="9" s="1"/>
  <c r="E19" i="19"/>
  <c r="B5" i="10"/>
  <c r="K21" i="19" l="1"/>
  <c r="M21" i="19" s="1"/>
  <c r="K22" i="19"/>
  <c r="M22" i="19" s="1"/>
  <c r="K23" i="19"/>
  <c r="M23" i="19" s="1"/>
  <c r="K24" i="19"/>
  <c r="M24" i="19" s="1"/>
  <c r="K25" i="19"/>
  <c r="M25" i="19" s="1"/>
  <c r="J25" i="19"/>
  <c r="L25" i="19" s="1"/>
  <c r="J24" i="19"/>
  <c r="L24" i="19" s="1"/>
  <c r="J23" i="19"/>
  <c r="L23" i="19" s="1"/>
  <c r="J22" i="19"/>
  <c r="L22" i="19" s="1"/>
  <c r="J21" i="19"/>
  <c r="L21" i="19" s="1"/>
  <c r="E23" i="18"/>
  <c r="G23" i="18"/>
  <c r="H26" i="19"/>
  <c r="J26" i="19" s="1"/>
  <c r="L26" i="19" s="1"/>
  <c r="I26" i="19"/>
  <c r="K26" i="19" s="1"/>
  <c r="M26" i="19" s="1"/>
  <c r="E39" i="9"/>
  <c r="F23" i="18"/>
  <c r="K18" i="19"/>
  <c r="M18" i="19" s="1"/>
  <c r="J18" i="19"/>
  <c r="L18" i="19" s="1"/>
  <c r="K17" i="19"/>
  <c r="M17" i="19" s="1"/>
  <c r="J17" i="19"/>
  <c r="L17" i="19" s="1"/>
  <c r="K16" i="19"/>
  <c r="M16" i="19" s="1"/>
  <c r="J16" i="19"/>
  <c r="L16" i="19" s="1"/>
  <c r="K15" i="19"/>
  <c r="M15" i="19" s="1"/>
  <c r="J15" i="19"/>
  <c r="L15" i="19" s="1"/>
  <c r="K14" i="19"/>
  <c r="M14" i="19" s="1"/>
  <c r="J14" i="19"/>
  <c r="L14" i="19" s="1"/>
  <c r="E17" i="18"/>
  <c r="G17" i="18"/>
  <c r="F17" i="18"/>
  <c r="D39" i="9"/>
  <c r="H19" i="19"/>
  <c r="J19" i="19" s="1"/>
  <c r="L19" i="19" s="1"/>
  <c r="I19" i="19"/>
  <c r="K19" i="19" s="1"/>
  <c r="M19" i="19" s="1"/>
  <c r="M6" i="10" l="1"/>
  <c r="G27" i="10"/>
  <c r="M15" i="10"/>
  <c r="M7" i="10"/>
  <c r="M8" i="10" l="1"/>
  <c r="M16" i="10"/>
  <c r="M18" i="10" l="1"/>
  <c r="M48" i="10" s="1"/>
  <c r="E50" i="24" s="1"/>
  <c r="P33" i="18" s="1"/>
  <c r="R33" i="18" s="1"/>
  <c r="G9" i="18" s="1"/>
  <c r="M54" i="10"/>
  <c r="M17" i="10"/>
  <c r="E12" i="19" l="1"/>
  <c r="M49" i="10"/>
  <c r="M50" i="10" s="1"/>
  <c r="C34" i="9" s="1"/>
  <c r="E9" i="18"/>
  <c r="E10" i="18" s="1"/>
  <c r="K11" i="19" s="1"/>
  <c r="M11" i="19" s="1"/>
  <c r="Q33" i="18"/>
  <c r="F9" i="18" s="1"/>
  <c r="G10" i="18"/>
  <c r="F10" i="18"/>
  <c r="E11" i="18"/>
  <c r="K10" i="19"/>
  <c r="M10" i="19" s="1"/>
  <c r="C33" i="9" l="1"/>
  <c r="K7" i="19"/>
  <c r="M7" i="19" s="1"/>
  <c r="J7" i="19"/>
  <c r="L7" i="19" s="1"/>
  <c r="J8" i="19"/>
  <c r="L8" i="19" s="1"/>
  <c r="J10" i="19"/>
  <c r="L10" i="19" s="1"/>
  <c r="J11" i="19"/>
  <c r="L11" i="19" s="1"/>
  <c r="K9" i="19"/>
  <c r="M9" i="19" s="1"/>
  <c r="I12" i="19"/>
  <c r="K12" i="19" s="1"/>
  <c r="M12" i="19" s="1"/>
  <c r="H12" i="19"/>
  <c r="J12" i="19" s="1"/>
  <c r="L12" i="19" s="1"/>
  <c r="J9" i="19"/>
  <c r="L9" i="19" s="1"/>
  <c r="K8" i="19"/>
  <c r="M8" i="19" s="1"/>
  <c r="G11" i="18"/>
  <c r="C38" i="9"/>
  <c r="C39" i="9"/>
  <c r="F11" i="18"/>
</calcChain>
</file>

<file path=xl/sharedStrings.xml><?xml version="1.0" encoding="utf-8"?>
<sst xmlns="http://schemas.openxmlformats.org/spreadsheetml/2006/main" count="948" uniqueCount="343">
  <si>
    <t xml:space="preserve"> </t>
  </si>
  <si>
    <t xml:space="preserve"> c</t>
  </si>
  <si>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</si>
  <si>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</si>
  <si>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</si>
  <si>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</si>
  <si>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</si>
  <si>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</si>
  <si>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</si>
  <si>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</si>
  <si>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</si>
  <si>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</si>
  <si>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</si>
  <si>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</si>
  <si>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</si>
  <si>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</si>
  <si>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</si>
  <si>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</si>
  <si>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</si>
  <si>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</si>
  <si>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</si>
  <si>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t>CropScope is NEC’s precision agriculture platform that supports data-driven and sustainable farming. One of its key features is variable-rate fertilisation (VRF), which helps farmers reduce fertiliser waste and improve productivity by applying the right amount of fertiliser in the right place. This case study will focus specifically on the VRF functionality within the CropScope platform. CropScope’s VRF feature addresses this problem by using satellite imagery, soil nitrogen estimates, and past yield data to divide each field into multiple management zones. It then automatically generates a fertilisation map that recommends the optimal amount of nitrogen fertiliser for each zone. Farmers can view the map on a computer and connect it to compatible tractors or fertiliser applicators to carry out zone-specific fertilisation automatically.</t>
  </si>
  <si>
    <t>Scenarios</t>
  </si>
  <si>
    <t>Reference Scenario(s)</t>
  </si>
  <si>
    <t xml:space="preserve">Uniform application rates of fertiliser across agricultural fields is used, regardless of spatial variation in soil fertility or crop growth </t>
  </si>
  <si>
    <t>Solution Scenario(s)</t>
  </si>
  <si>
    <t>CropScope’s VFR feature is used to divide each field into multiple management zones, calculate the appropriate nitrogen fertiliser amount for each zone and apply this automatically.</t>
  </si>
  <si>
    <t>Context</t>
  </si>
  <si>
    <t>Corn</t>
  </si>
  <si>
    <t>Winter Wheat</t>
  </si>
  <si>
    <t xml:space="preserve">Spring Wheat </t>
  </si>
  <si>
    <t>Location</t>
  </si>
  <si>
    <t>Hokkaido, Japan</t>
  </si>
  <si>
    <t>Farm</t>
  </si>
  <si>
    <t>Conventional</t>
  </si>
  <si>
    <t>Time period for the assesment</t>
  </si>
  <si>
    <t>4 months</t>
  </si>
  <si>
    <t>10 months</t>
  </si>
  <si>
    <t>6 months</t>
  </si>
  <si>
    <t>Required Inputs</t>
  </si>
  <si>
    <t>Crop Type</t>
  </si>
  <si>
    <t>Spring Wheat</t>
  </si>
  <si>
    <t>Field size (ha)</t>
  </si>
  <si>
    <t>Country</t>
  </si>
  <si>
    <t>Japan</t>
  </si>
  <si>
    <t>Optional Adjustments</t>
  </si>
  <si>
    <t>Yield (kg/ha)</t>
  </si>
  <si>
    <t>Results</t>
  </si>
  <si>
    <t>kgCO2e</t>
  </si>
  <si>
    <t>kgCO2e/kg yield/season</t>
  </si>
  <si>
    <t>Percentage of fertiliser savings through use of solution</t>
  </si>
  <si>
    <t>Uncertainty Analysis Results</t>
  </si>
  <si>
    <t>Inputs</t>
  </si>
  <si>
    <t>Calculation</t>
  </si>
  <si>
    <t>(quantity of fertiliser * N%*(1-synthetic:organic ratio)*volatisation)+quantity of fertiliser * n%*volatisation and redopsition)+((quantity of fertiliser &amp;N%)*leachinglosses*leachinglosses2*conversionactor)</t>
  </si>
  <si>
    <t>Unit</t>
  </si>
  <si>
    <t>Value</t>
  </si>
  <si>
    <t xml:space="preserve">Reference Scenario Emissions </t>
  </si>
  <si>
    <t xml:space="preserve">Corn </t>
  </si>
  <si>
    <t>Type</t>
  </si>
  <si>
    <t>Calculation Step</t>
  </si>
  <si>
    <t>Formula (Written Out)</t>
  </si>
  <si>
    <t xml:space="preserve">Time Period </t>
  </si>
  <si>
    <t>month</t>
  </si>
  <si>
    <t>Fertiliser Base use direct emissions</t>
  </si>
  <si>
    <t>Fertiliser quantity (nitrogen) * conversion factor*emission factor</t>
  </si>
  <si>
    <t>Fertiliser Base use indirect emissions</t>
  </si>
  <si>
    <t>Fertiliser quantity (nitrogen) * indirect emissions * conversion factor</t>
  </si>
  <si>
    <t>Total Emissions Base Fertiliser</t>
  </si>
  <si>
    <t>Direct emissions + indirect emissions</t>
  </si>
  <si>
    <t>Annual consumption - Crops</t>
  </si>
  <si>
    <t>Additional fertiliser use direct emissions</t>
  </si>
  <si>
    <t xml:space="preserve">Crop Type </t>
  </si>
  <si>
    <t>Additional fertiliser use indirect emissions</t>
  </si>
  <si>
    <t>Yield</t>
  </si>
  <si>
    <t>Total Emissions Additional Fertiliser</t>
  </si>
  <si>
    <t xml:space="preserve">Volume of base fertiliser used </t>
  </si>
  <si>
    <t>Second additional fertiliser use direct emissions</t>
  </si>
  <si>
    <t>Volume of additional fertiliser</t>
  </si>
  <si>
    <t>kg/ha</t>
  </si>
  <si>
    <t>Second additional fertiliser use indirect emissions</t>
  </si>
  <si>
    <t xml:space="preserve">Volume of additional second fertiliser </t>
  </si>
  <si>
    <t>Total Emissions Second Additional Fertiliser</t>
  </si>
  <si>
    <t>Field Area</t>
  </si>
  <si>
    <t>Embodied Fertiliser Emissions</t>
  </si>
  <si>
    <t>Fertiliser quantity * emission factor</t>
  </si>
  <si>
    <t>Sum of all Fertiliser Emissions</t>
  </si>
  <si>
    <t>Sum of all fertiliser emissions</t>
  </si>
  <si>
    <t>Total Fertiliser per  hectare emissions</t>
  </si>
  <si>
    <t>Total fertiliser emissions/hectare</t>
  </si>
  <si>
    <t>kgCO2e/ha</t>
  </si>
  <si>
    <t>Summer Wheat</t>
  </si>
  <si>
    <t>Solution Scenario Emissions</t>
  </si>
  <si>
    <t>Change factors from NEC data</t>
  </si>
  <si>
    <t>Data Before solution</t>
  </si>
  <si>
    <t xml:space="preserve">Data after solution </t>
  </si>
  <si>
    <t>Change Factor</t>
  </si>
  <si>
    <t>kg</t>
  </si>
  <si>
    <t>Additional fertilise use indirect emissions</t>
  </si>
  <si>
    <t>Second additional fertilise use indirect emissions</t>
  </si>
  <si>
    <t>First Order Effects - Solution Emissions</t>
  </si>
  <si>
    <t>Energy Usage</t>
  </si>
  <si>
    <t>Monitor</t>
  </si>
  <si>
    <t>Electric MassFlow Controller</t>
  </si>
  <si>
    <t>Monitor use phase emissions</t>
  </si>
  <si>
    <t>Efficiency of monitor * energy consumption of monitor per year * electricity emission factor</t>
  </si>
  <si>
    <t>Time of running</t>
  </si>
  <si>
    <t>Electric MassFlow Controller embedded emissions</t>
  </si>
  <si>
    <t>Total embodied emissions * emission factors of materials</t>
  </si>
  <si>
    <t>Power usage</t>
  </si>
  <si>
    <t>Wh</t>
  </si>
  <si>
    <t>Electric MassFlow Controller use phase emissions</t>
  </si>
  <si>
    <t>Efficiency of electric massflow controller * energy consumption * cultivation period* electricity emission factor</t>
  </si>
  <si>
    <t>Efficiency</t>
  </si>
  <si>
    <t>percentage</t>
  </si>
  <si>
    <t xml:space="preserve">End of life MassFlow Controller Emissions </t>
  </si>
  <si>
    <t>Volume weight * end of life emission factor</t>
  </si>
  <si>
    <t>1st order effect - Total</t>
  </si>
  <si>
    <t>Sum of all embodied emissions + sum of all use phases + sum of all end of life emisisons</t>
  </si>
  <si>
    <t>Embedded emissions</t>
  </si>
  <si>
    <t>kgCO2e/kg</t>
  </si>
  <si>
    <t xml:space="preserve">End of life Emissions </t>
  </si>
  <si>
    <t>Emission Factors</t>
  </si>
  <si>
    <t>Source</t>
  </si>
  <si>
    <t>Annual emissions related to fertiliser use before the solution was implemented - Annual emissions related to fertiliser use after the solution was implemented</t>
  </si>
  <si>
    <t>Our World in Data</t>
  </si>
  <si>
    <t>kwh</t>
  </si>
  <si>
    <t>IPCC 2019</t>
  </si>
  <si>
    <t>DESNZ 2025</t>
  </si>
  <si>
    <t>Global Warming Potential N20</t>
  </si>
  <si>
    <t>Brentrup et al 2016</t>
  </si>
  <si>
    <t>kgCO2e/kg-N</t>
  </si>
  <si>
    <t>Indirect Emissions Coefficients</t>
  </si>
  <si>
    <t xml:space="preserve">These coefficients determine the indirect emissions deriving from leaching and volatilisation of Nitrogen within the ecosystem. </t>
  </si>
  <si>
    <t>Indirect Emissions volatilisation</t>
  </si>
  <si>
    <t>Indirect Emissions leaching</t>
  </si>
  <si>
    <t>Uncertainty Analysis</t>
  </si>
  <si>
    <t>This analysis assesses the uncertainty in the quality of the data inputs.</t>
  </si>
  <si>
    <t>Qualitative Assessment of Data Quality</t>
  </si>
  <si>
    <t>Quantitative assessment of data quality</t>
  </si>
  <si>
    <t>Impact of Uncertainty on Net Carbon Impact</t>
  </si>
  <si>
    <t>Data type</t>
  </si>
  <si>
    <t>Impact effect</t>
  </si>
  <si>
    <t>Description of effect</t>
  </si>
  <si>
    <t xml:space="preserve">Reliability </t>
  </si>
  <si>
    <t>Completeness</t>
  </si>
  <si>
    <t>SD</t>
  </si>
  <si>
    <t>Input data</t>
  </si>
  <si>
    <t>Input data with SD (higher range)</t>
  </si>
  <si>
    <t>Input data with SD (lower range)</t>
  </si>
  <si>
    <t>Activity Data</t>
  </si>
  <si>
    <t xml:space="preserve">1st order </t>
  </si>
  <si>
    <t>Poor</t>
  </si>
  <si>
    <t xml:space="preserve">Good </t>
  </si>
  <si>
    <t>Very good</t>
  </si>
  <si>
    <t xml:space="preserve">Electric Mass Flow Controller </t>
  </si>
  <si>
    <t xml:space="preserve">2nd order </t>
  </si>
  <si>
    <t>Emission factors</t>
  </si>
  <si>
    <t>Fair</t>
  </si>
  <si>
    <t>Data quality criteria and scoring</t>
  </si>
  <si>
    <t>Data Quality Criteria</t>
  </si>
  <si>
    <t>Very Good</t>
  </si>
  <si>
    <t>Good</t>
  </si>
  <si>
    <t>Activity representativeness</t>
  </si>
  <si>
    <t>Specific activity type</t>
  </si>
  <si>
    <t>Same generic activity type</t>
  </si>
  <si>
    <t>Different generic activity type</t>
  </si>
  <si>
    <t>Proxy activity</t>
  </si>
  <si>
    <t>Total carbon savings enabled (kgCO2e per crop cycle)</t>
  </si>
  <si>
    <t>Temporal representativeness</t>
  </si>
  <si>
    <t>Covers entire relevant time period</t>
  </si>
  <si>
    <t>Sample of relevant time period for more than 50% of time period</t>
  </si>
  <si>
    <t>Sample of relevant time period for less than 50% of time period</t>
  </si>
  <si>
    <t>Not a relevant time period</t>
  </si>
  <si>
    <t>Error values (kgCO2e per crop cycle)</t>
  </si>
  <si>
    <t>Geographical representativeness</t>
  </si>
  <si>
    <t>Covers all of the relevant geography</t>
  </si>
  <si>
    <t>Sample of relevant geography for more than 50% of geography</t>
  </si>
  <si>
    <t>Sample of relevant geography for less than 50% of geography</t>
  </si>
  <si>
    <t>Not a relevant geography</t>
  </si>
  <si>
    <t>Full dataset</t>
  </si>
  <si>
    <t>Significant sample / coverage</t>
  </si>
  <si>
    <t>Small sample / Incomplete coverage, use of reasonable/data backed assumptions to fill data gaps</t>
  </si>
  <si>
    <t>Small sample / Incomplete coverage / data gaps filled with assumptions not backed by data</t>
  </si>
  <si>
    <t>Reliability</t>
  </si>
  <si>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</si>
  <si>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</si>
  <si>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</si>
  <si>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</si>
  <si>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Source: EGDC ICT Methodology</t>
  </si>
  <si>
    <t>Adapted from: Greenhouse Gas Protocol, Quantitative Inventory Uncertainty, https://ghgprotocol.org/sites/default/files/2022-12/Quantitative%20Uncertainty%20Guidance.pdf</t>
  </si>
  <si>
    <t>Total production fuel mix factor (Scope 2 + Scope 3 - kg CO2e/kWh)</t>
  </si>
  <si>
    <t xml:space="preserve">Japan </t>
  </si>
  <si>
    <t>Source: https://ourworldindata.org/grapher/carbon-intensity-electricity?mapSelect=~JPN</t>
  </si>
  <si>
    <t>Fertiliser</t>
  </si>
  <si>
    <t>Classification</t>
  </si>
  <si>
    <t>Carbon emission factors (kg CO2e/kg)</t>
  </si>
  <si>
    <t>Nitrous Oxide</t>
  </si>
  <si>
    <t>Emission factor of N2O : 0.01 kgN2O-N/kgN input</t>
  </si>
  <si>
    <t>https://www.ipcc-nggip.iges.or.jp/public/2019rf/pdf/4_Volume4/19R_V4_Ch11_Soils_N2O_CO2.pdf</t>
  </si>
  <si>
    <t>Carbon emission factors (kg CO2e/N-kg)</t>
  </si>
  <si>
    <t>Fertiliser Embodied</t>
  </si>
  <si>
    <t>China Fertiliser</t>
  </si>
  <si>
    <t>(PDF) Greenhouse gas emissions from inorganic and organic fertilizer production and use: A review of emission factors and their variability</t>
  </si>
  <si>
    <t xml:space="preserve">Materials </t>
  </si>
  <si>
    <t>Electrical items - IT</t>
  </si>
  <si>
    <t>Electrical Items</t>
  </si>
  <si>
    <t>Electrical items - small</t>
  </si>
  <si>
    <t>Plastics: average plastics</t>
  </si>
  <si>
    <t>Average Plastic</t>
  </si>
  <si>
    <t>Metals</t>
  </si>
  <si>
    <t>Average Metals</t>
  </si>
  <si>
    <t>https://www.gov.uk/government/publications/greenhouse-gas-reporting-conversion-factors-2025</t>
  </si>
  <si>
    <t xml:space="preserve">End of Life </t>
  </si>
  <si>
    <t>WEEE - large, average landfill and recycling</t>
  </si>
  <si>
    <t>WEEE - mixed, average landfill and recycling</t>
  </si>
  <si>
    <t>WEEE - small, average landfill and recycling</t>
  </si>
  <si>
    <t>Plastics: average plastics, average landfill and recycling</t>
  </si>
  <si>
    <t>Conversion Factors</t>
  </si>
  <si>
    <t>IPCC Coefficient</t>
  </si>
  <si>
    <t>Coefficient</t>
  </si>
  <si>
    <t>FracGASM [Volatilisation from all organic N fertilisers applied, and dung and urine deposited by grazing animals], (kg NH3-N + NOx-N) (kg N applied or deposited)^-1</t>
  </si>
  <si>
    <r>
      <t>EF</t>
    </r>
    <r>
      <rPr>
        <sz val="8"/>
        <rFont val="Lora"/>
      </rPr>
      <t>4</t>
    </r>
    <r>
      <rPr>
        <sz val="11"/>
        <rFont val="Lora"/>
      </rPr>
      <t xml:space="preserve"> [N volitilisation and re-deposition], kg N</t>
    </r>
    <r>
      <rPr>
        <sz val="8"/>
        <rFont val="Lora"/>
      </rPr>
      <t>2</t>
    </r>
    <r>
      <rPr>
        <sz val="11"/>
        <rFont val="Lora"/>
      </rPr>
      <t>O-N (kg NH</t>
    </r>
    <r>
      <rPr>
        <sz val="8"/>
        <rFont val="Lora"/>
      </rPr>
      <t>3</t>
    </r>
    <r>
      <rPr>
        <sz val="11"/>
        <rFont val="Lora"/>
      </rPr>
      <t>-N + NO</t>
    </r>
    <r>
      <rPr>
        <sz val="8"/>
        <rFont val="Lora"/>
      </rPr>
      <t>x</t>
    </r>
    <r>
      <rPr>
        <sz val="11"/>
        <rFont val="Lora"/>
      </rPr>
      <t>-N volatilised)^</t>
    </r>
    <r>
      <rPr>
        <sz val="8"/>
        <rFont val="Lora"/>
      </rPr>
      <t>-1</t>
    </r>
  </si>
  <si>
    <r>
      <t>Frac</t>
    </r>
    <r>
      <rPr>
        <sz val="8"/>
        <rFont val="Lora"/>
      </rPr>
      <t>LEACH-(H)</t>
    </r>
    <r>
      <rPr>
        <sz val="11"/>
        <rFont val="Lora"/>
      </rPr>
      <t xml:space="preserve"> [N losses by leaching/runoff in wet climates], kg N (kg N additions or deposition by grazing animals)^</t>
    </r>
    <r>
      <rPr>
        <sz val="8"/>
        <rFont val="Lora"/>
      </rPr>
      <t>-1</t>
    </r>
  </si>
  <si>
    <r>
      <t>EF</t>
    </r>
    <r>
      <rPr>
        <sz val="8"/>
        <rFont val="Lora"/>
      </rPr>
      <t>5</t>
    </r>
    <r>
      <rPr>
        <sz val="11"/>
        <rFont val="Lora"/>
      </rPr>
      <t xml:space="preserve"> [leaching/runoff], kg N</t>
    </r>
    <r>
      <rPr>
        <sz val="8"/>
        <rFont val="Lora"/>
      </rPr>
      <t>2</t>
    </r>
    <r>
      <rPr>
        <sz val="11"/>
        <rFont val="Lora"/>
      </rPr>
      <t>O-N (kg N leaching/runoff)^</t>
    </r>
    <r>
      <rPr>
        <sz val="8"/>
        <rFont val="Lora"/>
      </rPr>
      <t>-1</t>
    </r>
  </si>
  <si>
    <t>Source: https://www.gov.uk/government/publications/greenhouse-gas-reporting-conversion-factors-2025</t>
  </si>
  <si>
    <t xml:space="preserve">Emission Factors for Uncertainty Analysis </t>
  </si>
  <si>
    <t>Emissions</t>
  </si>
  <si>
    <t>Emission factor</t>
  </si>
  <si>
    <t xml:space="preserve">Monitor </t>
  </si>
  <si>
    <t>kgCO2e/device use</t>
  </si>
  <si>
    <t xml:space="preserve">Coefficient </t>
  </si>
  <si>
    <t>kgCO2e/kg fertiliser use</t>
  </si>
  <si>
    <t>Sensitivity Analysis</t>
  </si>
  <si>
    <t>This analysis aims to show the impact of varying the inputs to the net imapct calculation in different implementation contexts.</t>
  </si>
  <si>
    <t>% variation of input (lower)</t>
  </si>
  <si>
    <t>% variation of input (higher)</t>
  </si>
  <si>
    <t>Net carbon impact (kgCO2e) - higher range</t>
  </si>
  <si>
    <t>Net carbon impact (kgCO2e) - lower range</t>
  </si>
  <si>
    <t>Percentage change to net carbon impact - higher range</t>
  </si>
  <si>
    <t>Percentage change to net carbon impact - lower range</t>
  </si>
  <si>
    <t>Description of change</t>
  </si>
  <si>
    <t>activity data</t>
  </si>
  <si>
    <t>emission factor</t>
  </si>
  <si>
    <t>KEY</t>
  </si>
  <si>
    <t>Data input</t>
  </si>
  <si>
    <t xml:space="preserve">Differences occur between different crops due to cultivation periods and hectar sizes. </t>
  </si>
  <si>
    <t>Scenario Type</t>
  </si>
  <si>
    <t xml:space="preserve">Crop </t>
  </si>
  <si>
    <t>Data</t>
  </si>
  <si>
    <t>Reference</t>
  </si>
  <si>
    <t xml:space="preserve">Volume of additional fertiliser </t>
  </si>
  <si>
    <t>kgN used</t>
  </si>
  <si>
    <t>ha</t>
  </si>
  <si>
    <t xml:space="preserve">Solution </t>
  </si>
  <si>
    <t>Indirect Emissions Step 2 (volatilisation)</t>
  </si>
  <si>
    <t>Indirect Emissions Step 2 (leaching)</t>
  </si>
  <si>
    <t>Volitilisation</t>
  </si>
  <si>
    <t>Leaching/Runoff</t>
  </si>
  <si>
    <t>AR6</t>
  </si>
  <si>
    <t>IPCC</t>
  </si>
  <si>
    <t>11.3 - Secondary Data'!$C$10</t>
  </si>
  <si>
    <t>11.3 - Secondary Data'!$C$18*</t>
  </si>
  <si>
    <t>'11.3 - Secondary Data'!$C$12</t>
  </si>
  <si>
    <t>Hardware Components</t>
  </si>
  <si>
    <t>System name</t>
    <phoneticPr fontId="21"/>
  </si>
  <si>
    <t>1st</t>
    <phoneticPr fontId="21"/>
  </si>
  <si>
    <t>2nd</t>
    <phoneticPr fontId="21"/>
  </si>
  <si>
    <t>Total Weight (kg)</t>
  </si>
  <si>
    <t>Plastics (kg)</t>
  </si>
  <si>
    <t>Electronic (kg)</t>
  </si>
  <si>
    <t>Metal (kg)</t>
  </si>
  <si>
    <t>Wh use</t>
  </si>
  <si>
    <t>Time in Use</t>
  </si>
  <si>
    <t>Component Amount</t>
  </si>
  <si>
    <t xml:space="preserve">Equipment Required for variable-rate fertilisation </t>
  </si>
  <si>
    <t xml:space="preserve">Equipment Required Without variable-rate fertilisation </t>
  </si>
  <si>
    <t>ISOBUS Guidance System</t>
  </si>
  <si>
    <t>Guidance System</t>
    <phoneticPr fontId="21"/>
  </si>
  <si>
    <t>Monitor (2-3.2kg)</t>
  </si>
  <si>
    <t>hours</t>
  </si>
  <si>
    <t>NEC</t>
  </si>
  <si>
    <t>✔</t>
    <phoneticPr fontId="21"/>
  </si>
  <si>
    <t>Receiver (0.5kg)</t>
  </si>
  <si>
    <t>Automatic steering system</t>
  </si>
  <si>
    <t>Automatic steering (5kg)</t>
  </si>
  <si>
    <t>Spreader system</t>
    <phoneticPr fontId="21"/>
  </si>
  <si>
    <t>Fertilizer Broadcaster</t>
  </si>
  <si>
    <t>Electric MassFlow Controller (1-5kg)</t>
  </si>
  <si>
    <t>min/ha</t>
  </si>
  <si>
    <t>200-450kg</t>
  </si>
  <si>
    <t xml:space="preserve">Fertilizer Broadcaster 
</t>
  </si>
  <si>
    <t xml:space="preserve">Components </t>
  </si>
  <si>
    <t>First Order Effects</t>
  </si>
  <si>
    <t xml:space="preserve">Stochiometric Factor </t>
  </si>
  <si>
    <t>kg N₂O per kg N₂O‑N</t>
  </si>
  <si>
    <t>Stochiometric Factor  kg N₂O per kg N₂O‑N</t>
  </si>
  <si>
    <t>Net carbon impact per crop type</t>
  </si>
  <si>
    <t>Total first order effects + Total second order effects</t>
  </si>
  <si>
    <t>Total Fertiliser per  kg product</t>
  </si>
  <si>
    <t>Kg product</t>
  </si>
  <si>
    <t>Net carbon impact (functional unit = kgCO2e/kg)</t>
  </si>
  <si>
    <t>Seasonal second order effect (per kg)</t>
  </si>
  <si>
    <t>kgCO2e/kg product</t>
  </si>
  <si>
    <t>1st order effect - per ha</t>
  </si>
  <si>
    <t>1st order effect - per kg product</t>
  </si>
  <si>
    <t>Total 1st order effects / ha</t>
  </si>
  <si>
    <t>Total 1st order effects / kg product</t>
  </si>
  <si>
    <t>Total first order effects/ha + Total second order effects/ha</t>
  </si>
  <si>
    <t>Net carbon impact per kg product</t>
  </si>
  <si>
    <t>Net carbon impact of solution per kg product</t>
  </si>
  <si>
    <t>Net carbon impact of solution (total kg produced)</t>
  </si>
  <si>
    <t>Total net carbon impact (lower range)</t>
  </si>
  <si>
    <t>Total net carbon impact (higher range)</t>
  </si>
  <si>
    <t>Manual Override (Yield)</t>
  </si>
  <si>
    <t>Manual Override (Field size)</t>
  </si>
  <si>
    <t>Technological</t>
  </si>
  <si>
    <t>Temporal</t>
  </si>
  <si>
    <t>Geographical</t>
  </si>
  <si>
    <t xml:space="preserve">mins / ha </t>
  </si>
  <si>
    <t xml:space="preserve">Electric MassFlow Controller end of life emissions </t>
  </si>
  <si>
    <t>Note: Only the electric mass flow controller is an additional piece of equipment for the solution</t>
  </si>
  <si>
    <t>kgCo2e/device kg</t>
  </si>
  <si>
    <t>Emissions (kgCO2e)</t>
  </si>
  <si>
    <t>Effect</t>
  </si>
  <si>
    <t>Quantitative Assessment</t>
  </si>
  <si>
    <t>Magnitude</t>
  </si>
  <si>
    <t>Likelihood</t>
  </si>
  <si>
    <t>Mitigation</t>
  </si>
  <si>
    <t>Cost savings due to reduced fertiliser use</t>
  </si>
  <si>
    <t>Cost of fertiliser in Japan ($/kg): 0.775 (NPK Fertiliser Prices and Forecast Data Report, 2025)</t>
  </si>
  <si>
    <t>Estimated cost of fertiliser saved for all crops ($/crop season): 606.33</t>
  </si>
  <si>
    <t>EIO Factor OPEN CEDA (Support activities for agriculture and forestry, Japan) -Link: 0.298 kgCO2e/$</t>
  </si>
  <si>
    <t>Total emissions across all crops: 180 kgCO2e/ crop season</t>
  </si>
  <si>
    <t xml:space="preserve">2% of total carbon savings enabled by solution could be offset, therefore low risk. </t>
  </si>
  <si>
    <t xml:space="preserve">Somewhat likely unless cost savings are ring fenced for specific activities </t>
  </si>
  <si>
    <r>
      <t xml:space="preserve">Total fertiliser savings across all crops kg/crop season: </t>
    </r>
    <r>
      <rPr>
        <sz val="12"/>
        <color rgb="FF000000"/>
        <rFont val="Lora"/>
      </rPr>
      <t>782.36</t>
    </r>
  </si>
  <si>
    <t>CO2e emissions per kg of product
(Alternative) CO2e emissions per hectare</t>
  </si>
  <si>
    <t>Functional Units</t>
  </si>
  <si>
    <t>Total fertiliser emissions/kg product</t>
  </si>
  <si>
    <t>Net carbon impact (functional unit = per crop yield direct comparison)</t>
  </si>
  <si>
    <t>*Note - These values have increased since they were published at COP due to an update to some of the factors used as the prior version was found to have used older factors</t>
  </si>
  <si>
    <t>NEC are actively exploring measures to support and encourage re-investment of cost savings at the farm level in ways that further reduce emissions, rather than increase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</si>
</sst>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00"/>
    <numFmt numFmtId="166" formatCode="0.0%"/>
    <numFmt numFmtId="167" formatCode="_-* #,##0_-;\-* #,##0_-;_-* &quot;-&quot;??_-;_-@_-"/>
    <numFmt numFmtId="168" formatCode="_-* #,##0.00000_-;\-* #,##0.00000_-;_-* &quot;-&quot;??_-;_-@_-"/>
    <numFmt numFmtId="169" formatCode="_-* #,##0.0_-;\-* #,##0.0_-;_-* &quot;-&quot;??_-;_-@_-"/>
    <numFmt numFmtId="170" formatCode="0.0000"/>
    <numFmt numFmtId="171" formatCode="_-* #,##0.000_-;\-* #,##0.000_-;_-* &quot;-&quot;??_-;_-@_-"/>
    <numFmt numFmtId="172" formatCode="#,##0.000"/>
    <numFmt numFmtId="173" formatCode="\+0.00;\-0.00"/>
    <numFmt numFmtId="174" formatCode="_-* #,##0.0000_-;\-* #,##0.0000_-;_-* &quot;-&quot;??_-;_-@_-"/>
    <numFmt numFmtId="175" formatCode="#,###;\-#,###;"/>
  </numFmts>
  <fonts count="56">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b/>
      <sz val="11"/>
      <color theme="1"/>
      <name val="Lora"/>
    </font>
    <font>
      <sz val="11"/>
      <color theme="1"/>
      <name val="Lora"/>
    </font>
    <font>
      <b/>
      <sz val="11"/>
      <color theme="0"/>
      <name val="Lora"/>
    </font>
    <font>
      <i/>
      <sz val="11"/>
      <color rgb="FFFF000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u/>
      <sz val="11"/>
      <color theme="1"/>
      <name val="Lora"/>
    </font>
    <font>
      <u/>
      <sz val="11"/>
      <color theme="1"/>
      <name val="Lora"/>
    </font>
    <font>
      <i/>
      <sz val="11"/>
      <color theme="1"/>
      <name val="Lora"/>
    </font>
    <font>
      <sz val="11"/>
      <color theme="1"/>
      <name val="Kigelia Arabic Light"/>
      <family val="2"/>
    </font>
    <font>
      <sz val="18"/>
      <color theme="3"/>
      <name val="Arial"/>
      <family val="2"/>
      <scheme val="major"/>
    </font>
    <font>
      <sz val="11"/>
      <color rgb="FF006100"/>
      <name val="Roboto"/>
      <family val="2"/>
      <scheme val="minor"/>
    </font>
    <font>
      <sz val="11"/>
      <color rgb="FF9C0006"/>
      <name val="Roboto"/>
      <family val="2"/>
      <scheme val="minor"/>
    </font>
    <font>
      <sz val="11"/>
      <color rgb="FF9C5700"/>
      <name val="Roboto"/>
      <family val="2"/>
      <scheme val="minor"/>
    </font>
    <font>
      <b/>
      <sz val="11"/>
      <color theme="0"/>
      <name val="Roboto"/>
      <family val="2"/>
      <scheme val="minor"/>
    </font>
    <font>
      <sz val="11"/>
      <color theme="0"/>
      <name val="Roboto"/>
      <family val="2"/>
      <scheme val="minor"/>
    </font>
    <font>
      <b/>
      <sz val="11"/>
      <color theme="0"/>
      <name val="Roboto"/>
      <scheme val="minor"/>
    </font>
    <font>
      <u/>
      <sz val="11"/>
      <color theme="10"/>
      <name val="Roboto"/>
      <family val="2"/>
      <scheme val="minor"/>
    </font>
    <font>
      <sz val="10"/>
      <color theme="1"/>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theme="1"/>
      <name val="Arial"/>
      <family val="2"/>
    </font>
    <font>
      <b/>
      <sz val="10"/>
      <color theme="0"/>
      <name val="Arial"/>
      <family val="2"/>
    </font>
    <font>
      <b/>
      <sz val="12"/>
      <color theme="1"/>
      <name val="Lora"/>
    </font>
    <font>
      <sz val="11"/>
      <color theme="1"/>
      <name val="Roboto"/>
      <family val="2"/>
      <charset val="128"/>
      <scheme val="minor"/>
    </font>
    <font>
      <sz val="11"/>
      <color rgb="FF000000"/>
      <name val="Lora"/>
    </font>
    <font>
      <b/>
      <sz val="11"/>
      <color rgb="FF000000"/>
      <name val="Lora"/>
    </font>
    <font>
      <b/>
      <sz val="11"/>
      <color rgb="FFFFFFFF"/>
      <name val="Lora"/>
    </font>
    <font>
      <u/>
      <sz val="11"/>
      <color theme="10"/>
      <name val="Roboto"/>
      <family val="2"/>
      <charset val="128"/>
      <scheme val="minor"/>
    </font>
    <font>
      <sz val="11"/>
      <color theme="0"/>
      <name val="Lora"/>
    </font>
    <font>
      <sz val="12"/>
      <color theme="1"/>
      <name val="Roboto"/>
      <scheme val="minor"/>
    </font>
    <font>
      <sz val="12"/>
      <color theme="1"/>
      <name val="Lora"/>
    </font>
    <font>
      <sz val="8"/>
      <name val="Lora"/>
    </font>
    <font>
      <b/>
      <sz val="11"/>
      <color theme="4"/>
      <name val="Lora"/>
    </font>
    <font>
      <u/>
      <sz val="11"/>
      <color theme="0"/>
      <name val="Roboto"/>
      <family val="2"/>
      <scheme val="minor"/>
    </font>
    <font>
      <i/>
      <sz val="12"/>
      <color theme="0"/>
      <name val="Aptos Narrow"/>
      <family val="2"/>
    </font>
    <font>
      <b/>
      <sz val="11"/>
      <name val="Lora"/>
    </font>
    <font>
      <sz val="12"/>
      <color rgb="FF000000"/>
      <name val="Lora"/>
    </font>
    <font>
      <b/>
      <sz val="12"/>
      <color rgb="FF000000"/>
      <name val="Lora"/>
    </font>
    <font>
      <u/>
      <sz val="12"/>
      <color theme="10"/>
      <name val="Roboto"/>
      <family val="2"/>
      <scheme val="minor"/>
    </font>
    <font>
      <b/>
      <sz val="12"/>
      <color rgb="FFFFFFFF"/>
      <name val="Lora"/>
    </font>
  </fonts>
  <fills count="5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366340"/>
        <bgColor indexed="64"/>
      </patternFill>
    </fill>
    <fill>
      <patternFill patternType="solid">
        <fgColor rgb="FFF5F17F"/>
        <bgColor indexed="64"/>
      </patternFill>
    </fill>
    <fill>
      <patternFill patternType="solid">
        <fgColor rgb="FFFFFF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FFFFFF"/>
        <bgColor rgb="FF000000"/>
      </patternFill>
    </fill>
    <fill>
      <patternFill patternType="solid">
        <fgColor rgb="FF00FF6C"/>
        <bgColor rgb="FF000000"/>
      </patternFill>
    </fill>
    <fill>
      <patternFill patternType="solid">
        <fgColor rgb="FFFFFF00"/>
        <bgColor rgb="FF000000"/>
      </patternFill>
    </fill>
    <fill>
      <patternFill patternType="solid">
        <fgColor rgb="FFFFC000"/>
        <bgColor rgb="FF000000"/>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8"/>
        <bgColor indexed="64"/>
      </patternFill>
    </fill>
    <fill>
      <patternFill patternType="solid">
        <fgColor theme="0" tint="-0.14996795556505021"/>
        <bgColor indexed="64"/>
      </patternFill>
    </fill>
    <fill>
      <patternFill patternType="solid">
        <fgColor rgb="FFCED3CE"/>
        <bgColor indexed="64"/>
      </patternFill>
    </fill>
  </fills>
  <borders count="56">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rgb="FF053D5F"/>
      </left>
      <right style="thin">
        <color rgb="FF053D5F"/>
      </right>
      <top style="thin">
        <color rgb="FF053D5F"/>
      </top>
      <bottom style="thin">
        <color rgb="FF053D5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rgb="FF000000"/>
      </left>
      <right style="thin">
        <color rgb="FF000000"/>
      </right>
      <top/>
      <bottom style="thin">
        <color rgb="FF000000"/>
      </bottom>
      <diagonal/>
    </border>
    <border>
      <left/>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style="thick">
        <color rgb="FFFFFFFF"/>
      </top>
      <bottom/>
      <diagonal/>
    </border>
  </borders>
  <cellStyleXfs count="63">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10" borderId="0" applyNumberFormat="0" applyBorder="0" applyAlignment="0" applyProtection="0"/>
    <xf numFmtId="0" fontId="26" fillId="11" borderId="0" applyNumberFormat="0" applyBorder="0" applyAlignment="0" applyProtection="0"/>
    <xf numFmtId="0" fontId="27" fillId="12" borderId="14" applyNumberFormat="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43" fontId="8" fillId="0" borderId="0" applyFont="0" applyFill="0" applyBorder="0" applyAlignment="0" applyProtection="0"/>
    <xf numFmtId="0" fontId="31" fillId="0" borderId="0"/>
    <xf numFmtId="0" fontId="6" fillId="39" borderId="16" applyNumberFormat="0" applyAlignment="0" applyProtection="0"/>
    <xf numFmtId="0" fontId="33" fillId="40" borderId="17" applyNumberFormat="0" applyProtection="0">
      <alignment vertical="center"/>
    </xf>
    <xf numFmtId="43" fontId="31" fillId="0" borderId="0" applyFont="0" applyFill="0" applyBorder="0" applyAlignment="0" applyProtection="0"/>
    <xf numFmtId="43" fontId="31"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41" borderId="13" applyNumberFormat="0" applyBorder="0" applyAlignment="0" applyProtection="0"/>
    <xf numFmtId="0" fontId="6" fillId="42" borderId="0">
      <alignment vertical="center"/>
    </xf>
    <xf numFmtId="0" fontId="6" fillId="43" borderId="18" applyNumberFormat="0" applyAlignment="0" applyProtection="0"/>
    <xf numFmtId="0" fontId="36" fillId="0" borderId="0"/>
    <xf numFmtId="0" fontId="31" fillId="13" borderId="15" applyNumberFormat="0" applyFont="0" applyAlignment="0" applyProtection="0"/>
    <xf numFmtId="0" fontId="37" fillId="44" borderId="19" applyNumberFormat="0" applyAlignment="0" applyProtection="0"/>
    <xf numFmtId="9" fontId="36" fillId="0" borderId="0" applyFont="0" applyFill="0" applyBorder="0" applyAlignment="0" applyProtection="0"/>
    <xf numFmtId="0" fontId="6" fillId="45" borderId="20" applyNumberFormat="0" applyProtection="0">
      <alignment vertical="center"/>
    </xf>
    <xf numFmtId="0" fontId="37" fillId="38" borderId="0" applyNumberFormat="0" applyBorder="0" applyAlignment="0" applyProtection="0"/>
    <xf numFmtId="0" fontId="30" fillId="0" borderId="0" applyNumberFormat="0" applyFill="0" applyBorder="0" applyAlignment="0" applyProtection="0"/>
    <xf numFmtId="43" fontId="8" fillId="0" borderId="0" applyFont="0" applyFill="0" applyBorder="0" applyAlignment="0" applyProtection="0"/>
    <xf numFmtId="0" fontId="39" fillId="0" borderId="0">
      <alignment vertical="center"/>
    </xf>
    <xf numFmtId="43" fontId="8" fillId="0" borderId="0" applyFont="0" applyFill="0" applyBorder="0" applyAlignment="0" applyProtection="0"/>
    <xf numFmtId="0" fontId="30" fillId="0" borderId="0" applyNumberFormat="0" applyFill="0" applyBorder="0" applyAlignment="0" applyProtection="0"/>
    <xf numFmtId="0" fontId="8" fillId="0" borderId="0"/>
    <xf numFmtId="0" fontId="43" fillId="0" borderId="0" applyNumberFormat="0" applyFill="0" applyBorder="0" applyAlignment="0" applyProtection="0">
      <alignment vertical="center"/>
    </xf>
  </cellStyleXfs>
  <cellXfs count="253">
    <xf numFmtId="0" fontId="0" fillId="0" borderId="0" xfId="0"/>
    <xf numFmtId="0" fontId="9" fillId="0" borderId="0" xfId="0" applyFont="1"/>
    <xf numFmtId="0" fontId="10" fillId="0" borderId="0" xfId="0" applyFont="1"/>
    <xf numFmtId="0" fontId="10" fillId="0" borderId="0" xfId="0" applyFont="1" applyAlignment="1">
      <alignment wrapText="1"/>
    </xf>
    <xf numFmtId="0" fontId="11"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center" vertical="center" wrapText="1"/>
    </xf>
    <xf numFmtId="0" fontId="10" fillId="0" borderId="4" xfId="0" applyFont="1" applyBorder="1" applyAlignment="1">
      <alignment vertical="center"/>
    </xf>
    <xf numFmtId="0" fontId="10" fillId="0" borderId="4" xfId="0" applyFont="1" applyBorder="1" applyProtection="1">
      <protection locked="0"/>
    </xf>
    <xf numFmtId="0" fontId="10" fillId="0" borderId="4" xfId="0" applyFont="1" applyBorder="1" applyAlignment="1">
      <alignment horizontal="center" vertical="center"/>
    </xf>
    <xf numFmtId="2" fontId="10" fillId="0" borderId="4" xfId="0" applyNumberFormat="1" applyFont="1" applyBorder="1" applyAlignment="1">
      <alignment horizontal="center" vertical="center"/>
    </xf>
    <xf numFmtId="0" fontId="11" fillId="3" borderId="4" xfId="0" applyFont="1" applyFill="1" applyBorder="1" applyAlignment="1">
      <alignment horizontal="left" wrapText="1"/>
    </xf>
    <xf numFmtId="0" fontId="11" fillId="3" borderId="4" xfId="0" applyFont="1" applyFill="1" applyBorder="1" applyAlignment="1">
      <alignment horizontal="center" wrapText="1"/>
    </xf>
    <xf numFmtId="0" fontId="9"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0" xfId="0" applyFont="1" applyAlignment="1">
      <alignment horizontal="center" wrapText="1"/>
    </xf>
    <xf numFmtId="0" fontId="12" fillId="0" borderId="0" xfId="0" applyFont="1" applyAlignment="1">
      <alignment vertical="center"/>
    </xf>
    <xf numFmtId="0" fontId="11" fillId="3" borderId="4" xfId="0" applyFont="1" applyFill="1" applyBorder="1" applyAlignment="1">
      <alignment horizontal="center"/>
    </xf>
    <xf numFmtId="0" fontId="9" fillId="0" borderId="4" xfId="0" applyFont="1" applyBorder="1" applyAlignment="1">
      <alignment vertical="center"/>
    </xf>
    <xf numFmtId="0" fontId="10" fillId="0" borderId="4" xfId="0" applyFont="1" applyBorder="1" applyAlignment="1">
      <alignment horizontal="center"/>
    </xf>
    <xf numFmtId="0" fontId="13" fillId="0" borderId="0" xfId="0" applyFont="1"/>
    <xf numFmtId="0" fontId="10" fillId="0" borderId="7" xfId="0" applyFont="1" applyBorder="1"/>
    <xf numFmtId="0" fontId="11" fillId="3" borderId="0" xfId="0" applyFont="1" applyFill="1" applyAlignment="1">
      <alignment horizontal="left"/>
    </xf>
    <xf numFmtId="0" fontId="10" fillId="0" borderId="4" xfId="0" applyFont="1" applyBorder="1"/>
    <xf numFmtId="2" fontId="10" fillId="0" borderId="4" xfId="0" applyNumberFormat="1" applyFont="1" applyBorder="1"/>
    <xf numFmtId="0" fontId="9" fillId="0" borderId="0" xfId="0" applyFont="1" applyAlignment="1">
      <alignment wrapText="1"/>
    </xf>
    <xf numFmtId="0" fontId="9"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indent="5"/>
    </xf>
    <xf numFmtId="0" fontId="17" fillId="0" borderId="0" xfId="0" applyFont="1" applyAlignment="1">
      <alignment vertical="center" wrapText="1"/>
    </xf>
    <xf numFmtId="0" fontId="10" fillId="0" borderId="0" xfId="0" applyFont="1" applyAlignment="1">
      <alignmen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wrapText="1"/>
    </xf>
    <xf numFmtId="2" fontId="10" fillId="0" borderId="4" xfId="0" applyNumberFormat="1" applyFont="1" applyBorder="1" applyAlignment="1">
      <alignment horizontal="center"/>
    </xf>
    <xf numFmtId="43" fontId="10" fillId="0" borderId="4" xfId="0" applyNumberFormat="1" applyFont="1" applyBorder="1"/>
    <xf numFmtId="166" fontId="10" fillId="0" borderId="4" xfId="7" applyNumberFormat="1" applyFont="1" applyBorder="1"/>
    <xf numFmtId="166" fontId="10" fillId="0" borderId="0" xfId="7" applyNumberFormat="1" applyFont="1"/>
    <xf numFmtId="0" fontId="18" fillId="0" borderId="0" xfId="0" applyFont="1"/>
    <xf numFmtId="0" fontId="20" fillId="0" borderId="0" xfId="0" applyFont="1"/>
    <xf numFmtId="0" fontId="21" fillId="0" borderId="0" xfId="0" applyFont="1"/>
    <xf numFmtId="164" fontId="10" fillId="0" borderId="4" xfId="0" applyNumberFormat="1" applyFont="1" applyBorder="1" applyAlignment="1">
      <alignment horizontal="center"/>
    </xf>
    <xf numFmtId="43" fontId="10" fillId="0" borderId="4" xfId="8" applyFont="1" applyBorder="1"/>
    <xf numFmtId="0" fontId="22" fillId="0" borderId="0" xfId="0" applyFont="1"/>
    <xf numFmtId="2" fontId="14" fillId="0" borderId="0" xfId="0" applyNumberFormat="1" applyFont="1"/>
    <xf numFmtId="2" fontId="10" fillId="0" borderId="0" xfId="0" applyNumberFormat="1" applyFont="1"/>
    <xf numFmtId="9" fontId="10" fillId="0" borderId="0" xfId="0" applyNumberFormat="1" applyFont="1"/>
    <xf numFmtId="4" fontId="10" fillId="0" borderId="0" xfId="0" applyNumberFormat="1" applyFont="1"/>
    <xf numFmtId="0" fontId="29" fillId="3" borderId="0" xfId="0" applyFont="1" applyFill="1"/>
    <xf numFmtId="0" fontId="0" fillId="0" borderId="22" xfId="0" applyBorder="1"/>
    <xf numFmtId="0" fontId="0" fillId="0" borderId="4" xfId="0" applyBorder="1"/>
    <xf numFmtId="0" fontId="0" fillId="0" borderId="5" xfId="0" applyBorder="1"/>
    <xf numFmtId="0" fontId="38" fillId="0" borderId="0" xfId="0" applyFont="1"/>
    <xf numFmtId="0" fontId="40" fillId="0" borderId="24" xfId="0" applyFont="1" applyBorder="1" applyAlignment="1">
      <alignment horizontal="left" vertical="center"/>
    </xf>
    <xf numFmtId="0" fontId="42" fillId="48" borderId="25" xfId="0" applyFont="1" applyFill="1" applyBorder="1" applyAlignment="1">
      <alignment horizontal="left" vertical="center"/>
    </xf>
    <xf numFmtId="0" fontId="41" fillId="0" borderId="0" xfId="0" applyFont="1" applyAlignment="1">
      <alignment vertical="center"/>
    </xf>
    <xf numFmtId="0" fontId="0" fillId="0" borderId="11" xfId="0" applyBorder="1"/>
    <xf numFmtId="0" fontId="9" fillId="0" borderId="4" xfId="0" applyFont="1" applyBorder="1"/>
    <xf numFmtId="0" fontId="10" fillId="46" borderId="4" xfId="0" applyFont="1" applyFill="1" applyBorder="1"/>
    <xf numFmtId="0" fontId="10" fillId="47" borderId="4" xfId="0" applyFont="1" applyFill="1" applyBorder="1"/>
    <xf numFmtId="0" fontId="40" fillId="0" borderId="25" xfId="0" applyFont="1" applyBorder="1" applyAlignment="1">
      <alignment horizontal="left" vertical="center"/>
    </xf>
    <xf numFmtId="0" fontId="40" fillId="49" borderId="4" xfId="0" applyFont="1" applyFill="1" applyBorder="1" applyAlignment="1">
      <alignment horizontal="left" vertical="center"/>
    </xf>
    <xf numFmtId="0" fontId="40" fillId="0" borderId="4" xfId="0" applyFont="1" applyBorder="1" applyAlignment="1">
      <alignment horizontal="left" vertical="center" wrapText="1"/>
    </xf>
    <xf numFmtId="0" fontId="40" fillId="0" borderId="4" xfId="0" applyFont="1" applyBorder="1" applyAlignment="1">
      <alignment horizontal="left" vertical="center"/>
    </xf>
    <xf numFmtId="43" fontId="10" fillId="0" borderId="4" xfId="59" applyFont="1" applyBorder="1" applyProtection="1">
      <protection locked="0"/>
    </xf>
    <xf numFmtId="43" fontId="10" fillId="0" borderId="4" xfId="59" applyFont="1" applyBorder="1"/>
    <xf numFmtId="0" fontId="10" fillId="3" borderId="0" xfId="0" applyFont="1" applyFill="1"/>
    <xf numFmtId="43" fontId="10" fillId="0" borderId="0" xfId="59" applyFont="1"/>
    <xf numFmtId="43" fontId="11" fillId="3" borderId="0" xfId="59" applyFont="1" applyFill="1" applyAlignment="1">
      <alignment horizontal="left"/>
    </xf>
    <xf numFmtId="9" fontId="40" fillId="0" borderId="4" xfId="0" applyNumberFormat="1" applyFont="1" applyBorder="1"/>
    <xf numFmtId="43" fontId="10" fillId="46" borderId="4" xfId="59" applyFont="1" applyFill="1" applyBorder="1"/>
    <xf numFmtId="43" fontId="10" fillId="46" borderId="5" xfId="59" applyFont="1" applyFill="1" applyBorder="1"/>
    <xf numFmtId="43" fontId="10" fillId="47" borderId="4" xfId="59" applyFont="1" applyFill="1" applyBorder="1"/>
    <xf numFmtId="43" fontId="10" fillId="46" borderId="21" xfId="59" applyFont="1" applyFill="1" applyBorder="1"/>
    <xf numFmtId="43" fontId="10" fillId="46" borderId="22" xfId="59" applyFont="1" applyFill="1" applyBorder="1"/>
    <xf numFmtId="0" fontId="10" fillId="0" borderId="9" xfId="0" applyFont="1" applyBorder="1"/>
    <xf numFmtId="43" fontId="10" fillId="0" borderId="11" xfId="59" applyFont="1" applyBorder="1"/>
    <xf numFmtId="0" fontId="44" fillId="0" borderId="0" xfId="0" applyFont="1"/>
    <xf numFmtId="167" fontId="10" fillId="7" borderId="4" xfId="59" applyNumberFormat="1" applyFont="1" applyFill="1" applyBorder="1" applyAlignment="1">
      <alignment horizontal="center"/>
    </xf>
    <xf numFmtId="9" fontId="10" fillId="0" borderId="4" xfId="7" applyFont="1" applyBorder="1" applyAlignment="1">
      <alignment horizontal="center" vertical="center"/>
    </xf>
    <xf numFmtId="4" fontId="40" fillId="0" borderId="4" xfId="0" applyNumberFormat="1" applyFont="1" applyBorder="1" applyAlignment="1">
      <alignment horizontal="center" vertical="center"/>
    </xf>
    <xf numFmtId="0" fontId="11" fillId="3" borderId="0" xfId="0" applyFont="1" applyFill="1" applyAlignment="1">
      <alignment horizontal="center"/>
    </xf>
    <xf numFmtId="0" fontId="45" fillId="0" borderId="0" xfId="0" applyFont="1"/>
    <xf numFmtId="0" fontId="21" fillId="5" borderId="24" xfId="0" applyFont="1" applyFill="1" applyBorder="1"/>
    <xf numFmtId="164" fontId="10" fillId="0" borderId="34" xfId="0" applyNumberFormat="1" applyFont="1" applyBorder="1" applyAlignment="1">
      <alignment horizontal="center" vertical="center"/>
    </xf>
    <xf numFmtId="0" fontId="40" fillId="0" borderId="34" xfId="0" applyFont="1" applyBorder="1" applyAlignment="1">
      <alignment horizontal="center" vertical="center"/>
    </xf>
    <xf numFmtId="1" fontId="10" fillId="0" borderId="34" xfId="0" applyNumberFormat="1" applyFont="1" applyBorder="1" applyAlignment="1">
      <alignment horizontal="center" vertical="center"/>
    </xf>
    <xf numFmtId="0" fontId="13" fillId="0" borderId="0" xfId="0" applyFont="1" applyAlignment="1">
      <alignment wrapText="1"/>
    </xf>
    <xf numFmtId="0" fontId="10" fillId="5" borderId="4" xfId="0" applyFont="1" applyFill="1" applyBorder="1"/>
    <xf numFmtId="9" fontId="10" fillId="0" borderId="4" xfId="0" applyNumberFormat="1" applyFont="1" applyBorder="1"/>
    <xf numFmtId="2" fontId="10" fillId="0" borderId="0" xfId="0" applyNumberFormat="1" applyFont="1" applyAlignment="1">
      <alignment horizontal="center"/>
    </xf>
    <xf numFmtId="43" fontId="10" fillId="0" borderId="0" xfId="8" applyFont="1" applyBorder="1"/>
    <xf numFmtId="43" fontId="10" fillId="0" borderId="0" xfId="0" applyNumberFormat="1" applyFont="1"/>
    <xf numFmtId="10" fontId="10" fillId="0" borderId="0" xfId="7" applyNumberFormat="1" applyFont="1" applyBorder="1"/>
    <xf numFmtId="166" fontId="10" fillId="0" borderId="0" xfId="7" applyNumberFormat="1" applyFont="1" applyBorder="1"/>
    <xf numFmtId="0" fontId="10" fillId="0" borderId="0" xfId="0" applyFont="1" applyAlignment="1">
      <alignment horizontal="center" vertical="center"/>
    </xf>
    <xf numFmtId="2" fontId="10" fillId="0" borderId="0" xfId="0" applyNumberFormat="1" applyFont="1" applyAlignment="1">
      <alignment horizontal="center" vertical="center"/>
    </xf>
    <xf numFmtId="9" fontId="40" fillId="0" borderId="0" xfId="0" applyNumberFormat="1" applyFont="1"/>
    <xf numFmtId="0" fontId="10" fillId="0" borderId="4" xfId="0" applyFont="1" applyBorder="1" applyAlignment="1">
      <alignment horizontal="left" vertical="center"/>
    </xf>
    <xf numFmtId="0" fontId="10" fillId="0" borderId="5" xfId="0" applyFont="1" applyBorder="1"/>
    <xf numFmtId="43" fontId="10" fillId="0" borderId="5" xfId="59" applyFont="1" applyBorder="1"/>
    <xf numFmtId="0" fontId="10" fillId="0" borderId="22" xfId="0" applyFont="1" applyBorder="1"/>
    <xf numFmtId="0" fontId="10" fillId="0" borderId="21" xfId="0" applyFont="1" applyBorder="1"/>
    <xf numFmtId="0" fontId="11" fillId="3" borderId="0" xfId="0" applyFont="1" applyFill="1"/>
    <xf numFmtId="0" fontId="10" fillId="0" borderId="4" xfId="0" applyFont="1" applyBorder="1" applyAlignment="1" applyProtection="1">
      <alignment wrapText="1"/>
      <protection locked="0"/>
    </xf>
    <xf numFmtId="43" fontId="11" fillId="3" borderId="6" xfId="59" applyFont="1" applyFill="1" applyBorder="1" applyAlignment="1">
      <alignment horizontal="center"/>
    </xf>
    <xf numFmtId="0" fontId="10" fillId="0" borderId="28" xfId="0" applyFont="1" applyBorder="1"/>
    <xf numFmtId="0" fontId="10" fillId="0" borderId="29" xfId="0" applyFont="1" applyBorder="1"/>
    <xf numFmtId="0" fontId="10" fillId="0" borderId="30" xfId="0" applyFont="1" applyBorder="1"/>
    <xf numFmtId="0" fontId="11" fillId="3" borderId="0" xfId="0" applyFont="1" applyFill="1" applyAlignment="1">
      <alignment horizontal="left" wrapText="1"/>
    </xf>
    <xf numFmtId="0" fontId="10" fillId="53" borderId="4" xfId="0" applyFont="1" applyFill="1" applyBorder="1"/>
    <xf numFmtId="43" fontId="10" fillId="0" borderId="22" xfId="59" applyFont="1" applyBorder="1"/>
    <xf numFmtId="2" fontId="10" fillId="0" borderId="22" xfId="0" applyNumberFormat="1" applyFont="1" applyBorder="1"/>
    <xf numFmtId="0" fontId="44" fillId="3" borderId="0" xfId="0" applyFont="1" applyFill="1"/>
    <xf numFmtId="0" fontId="11" fillId="3" borderId="11" xfId="58" applyFont="1" applyFill="1" applyBorder="1">
      <alignment vertical="center"/>
    </xf>
    <xf numFmtId="0" fontId="11" fillId="3" borderId="11" xfId="58" applyFont="1" applyFill="1" applyBorder="1" applyAlignment="1">
      <alignment vertical="center" wrapText="1"/>
    </xf>
    <xf numFmtId="0" fontId="11" fillId="3" borderId="0" xfId="58" applyFont="1" applyFill="1" applyAlignment="1">
      <alignment vertical="center" wrapText="1"/>
    </xf>
    <xf numFmtId="0" fontId="11" fillId="3" borderId="4" xfId="58" applyFont="1" applyFill="1" applyBorder="1" applyAlignment="1">
      <alignment vertical="center" wrapText="1"/>
    </xf>
    <xf numFmtId="0" fontId="46" fillId="0" borderId="4" xfId="58" applyFont="1" applyBorder="1" applyAlignment="1">
      <alignment horizontal="center" vertical="center" wrapText="1"/>
    </xf>
    <xf numFmtId="0" fontId="46" fillId="0" borderId="4" xfId="0" applyFont="1" applyBorder="1" applyAlignment="1">
      <alignment horizontal="center" vertical="center" wrapText="1"/>
    </xf>
    <xf numFmtId="0" fontId="46" fillId="0" borderId="9" xfId="58" applyFont="1" applyBorder="1" applyAlignment="1">
      <alignment horizontal="center" vertical="center" wrapText="1"/>
    </xf>
    <xf numFmtId="0" fontId="46" fillId="0" borderId="10" xfId="58" applyFont="1" applyBorder="1" applyAlignment="1">
      <alignment vertical="center" wrapText="1"/>
    </xf>
    <xf numFmtId="0" fontId="46" fillId="0" borderId="4" xfId="58" applyFont="1" applyBorder="1" applyAlignment="1">
      <alignment vertical="center" wrapText="1"/>
    </xf>
    <xf numFmtId="0" fontId="46" fillId="0" borderId="0" xfId="0" applyFont="1"/>
    <xf numFmtId="0" fontId="10" fillId="0" borderId="6" xfId="0" applyFont="1" applyBorder="1"/>
    <xf numFmtId="0" fontId="11" fillId="3" borderId="10" xfId="0" applyFont="1" applyFill="1" applyBorder="1"/>
    <xf numFmtId="0" fontId="10" fillId="0" borderId="4" xfId="0" applyFont="1" applyBorder="1" applyAlignment="1">
      <alignment wrapText="1"/>
    </xf>
    <xf numFmtId="0" fontId="10" fillId="0" borderId="0" xfId="0" applyFont="1" applyAlignment="1">
      <alignment horizontal="center"/>
    </xf>
    <xf numFmtId="43" fontId="10" fillId="0" borderId="4" xfId="59" applyFont="1" applyBorder="1" applyAlignment="1">
      <alignment horizontal="center"/>
    </xf>
    <xf numFmtId="0" fontId="40" fillId="0" borderId="0" xfId="0" applyFont="1"/>
    <xf numFmtId="0" fontId="10" fillId="0" borderId="35" xfId="0" applyFont="1" applyBorder="1" applyAlignment="1">
      <alignment horizontal="center" wrapText="1"/>
    </xf>
    <xf numFmtId="0" fontId="10" fillId="0" borderId="35" xfId="0" applyFont="1" applyBorder="1" applyAlignment="1">
      <alignment horizontal="center"/>
    </xf>
    <xf numFmtId="0" fontId="14" fillId="0" borderId="35" xfId="0" applyFont="1" applyBorder="1" applyAlignment="1">
      <alignment horizontal="center" vertical="center" wrapText="1"/>
    </xf>
    <xf numFmtId="165" fontId="14" fillId="0" borderId="35" xfId="0" applyNumberFormat="1" applyFont="1" applyBorder="1" applyAlignment="1">
      <alignment horizontal="center" vertical="center" wrapText="1"/>
    </xf>
    <xf numFmtId="0" fontId="10" fillId="0" borderId="10" xfId="0" applyFont="1" applyBorder="1"/>
    <xf numFmtId="0" fontId="10" fillId="0" borderId="27" xfId="0" applyFont="1" applyBorder="1"/>
    <xf numFmtId="0" fontId="10" fillId="0" borderId="31" xfId="0" applyFont="1" applyBorder="1"/>
    <xf numFmtId="0" fontId="10" fillId="0" borderId="32" xfId="0" applyFont="1" applyBorder="1"/>
    <xf numFmtId="0" fontId="10" fillId="0" borderId="33" xfId="0" applyFont="1" applyBorder="1"/>
    <xf numFmtId="0" fontId="10" fillId="0" borderId="26" xfId="0" applyFont="1" applyBorder="1"/>
    <xf numFmtId="0" fontId="14" fillId="0" borderId="4" xfId="0" applyFont="1" applyBorder="1" applyAlignment="1">
      <alignment vertical="center" wrapText="1"/>
    </xf>
    <xf numFmtId="165" fontId="14" fillId="0" borderId="4"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0" fontId="48" fillId="0" borderId="0" xfId="4" applyFont="1"/>
    <xf numFmtId="0" fontId="9" fillId="0" borderId="6" xfId="0" applyFont="1" applyBorder="1"/>
    <xf numFmtId="43" fontId="10" fillId="2" borderId="23" xfId="59" applyFont="1" applyFill="1" applyBorder="1" applyAlignment="1">
      <alignment horizontal="center" vertical="center"/>
    </xf>
    <xf numFmtId="169" fontId="10" fillId="7" borderId="4" xfId="59" applyNumberFormat="1" applyFont="1" applyFill="1" applyBorder="1" applyAlignment="1">
      <alignment horizontal="center"/>
    </xf>
    <xf numFmtId="43" fontId="10" fillId="2" borderId="4" xfId="59" applyFont="1" applyFill="1" applyBorder="1"/>
    <xf numFmtId="170" fontId="10" fillId="0" borderId="23" xfId="0" applyNumberFormat="1" applyFont="1" applyBorder="1" applyAlignment="1">
      <alignment horizontal="center" vertical="center"/>
    </xf>
    <xf numFmtId="43" fontId="10" fillId="0" borderId="4" xfId="59" applyFont="1" applyFill="1" applyBorder="1"/>
    <xf numFmtId="0" fontId="10" fillId="0" borderId="4" xfId="0" applyFont="1" applyBorder="1" applyAlignment="1" applyProtection="1">
      <alignment horizontal="center"/>
      <protection locked="0"/>
    </xf>
    <xf numFmtId="171" fontId="10" fillId="0" borderId="4" xfId="59" applyNumberFormat="1" applyFont="1" applyBorder="1" applyProtection="1">
      <protection locked="0"/>
    </xf>
    <xf numFmtId="171" fontId="10" fillId="0" borderId="4" xfId="59" applyNumberFormat="1" applyFont="1" applyBorder="1"/>
    <xf numFmtId="0" fontId="10" fillId="0" borderId="11" xfId="0" applyFont="1" applyBorder="1"/>
    <xf numFmtId="0" fontId="10" fillId="53" borderId="11" xfId="0" applyFont="1" applyFill="1" applyBorder="1"/>
    <xf numFmtId="0" fontId="40" fillId="0" borderId="37" xfId="0" applyFont="1" applyBorder="1" applyAlignment="1">
      <alignment horizontal="left" vertical="center"/>
    </xf>
    <xf numFmtId="0" fontId="30" fillId="0" borderId="0" xfId="60"/>
    <xf numFmtId="0" fontId="29" fillId="0" borderId="0" xfId="60" applyFont="1" applyFill="1" applyAlignment="1">
      <alignment horizontal="center"/>
    </xf>
    <xf numFmtId="0" fontId="27" fillId="0" borderId="0" xfId="60" applyFont="1" applyFill="1" applyBorder="1" applyAlignment="1">
      <alignment horizontal="center"/>
    </xf>
    <xf numFmtId="0" fontId="49" fillId="0" borderId="0" xfId="60" applyFont="1" applyFill="1"/>
    <xf numFmtId="0" fontId="49" fillId="0" borderId="0" xfId="60" applyFont="1" applyFill="1" applyBorder="1" applyAlignment="1">
      <alignment horizontal="center"/>
    </xf>
    <xf numFmtId="0" fontId="10" fillId="2" borderId="4" xfId="0" applyFont="1" applyFill="1" applyBorder="1"/>
    <xf numFmtId="0" fontId="40" fillId="2" borderId="4" xfId="0" applyFont="1" applyFill="1" applyBorder="1" applyAlignment="1">
      <alignment horizontal="left" vertical="center"/>
    </xf>
    <xf numFmtId="43" fontId="10" fillId="2" borderId="4" xfId="0" applyNumberFormat="1" applyFont="1" applyFill="1" applyBorder="1"/>
    <xf numFmtId="0" fontId="10" fillId="0" borderId="35" xfId="0" applyFont="1" applyBorder="1" applyAlignment="1">
      <alignment horizontal="center" vertical="center"/>
    </xf>
    <xf numFmtId="0" fontId="13" fillId="0" borderId="38" xfId="0" applyFont="1" applyBorder="1" applyAlignment="1">
      <alignment wrapText="1"/>
    </xf>
    <xf numFmtId="164" fontId="9" fillId="0" borderId="38" xfId="0" applyNumberFormat="1" applyFont="1" applyBorder="1" applyAlignment="1">
      <alignment horizontal="center" vertical="center"/>
    </xf>
    <xf numFmtId="43" fontId="10" fillId="0" borderId="4" xfId="59" applyFont="1" applyFill="1" applyBorder="1" applyProtection="1">
      <protection locked="0"/>
    </xf>
    <xf numFmtId="43" fontId="10" fillId="0" borderId="11" xfId="59" applyFont="1" applyFill="1" applyBorder="1"/>
    <xf numFmtId="43" fontId="10" fillId="0" borderId="22" xfId="59" applyFont="1" applyFill="1" applyBorder="1"/>
    <xf numFmtId="172" fontId="40" fillId="0" borderId="4" xfId="0" applyNumberFormat="1" applyFont="1" applyBorder="1" applyAlignment="1">
      <alignment horizontal="center" vertical="center"/>
    </xf>
    <xf numFmtId="0" fontId="50" fillId="6" borderId="0" xfId="0" applyFont="1" applyFill="1"/>
    <xf numFmtId="0" fontId="9" fillId="0" borderId="0" xfId="0" applyFont="1" applyAlignment="1">
      <alignment horizontal="center"/>
    </xf>
    <xf numFmtId="0" fontId="18" fillId="0" borderId="6" xfId="0" applyFont="1" applyBorder="1"/>
    <xf numFmtId="0" fontId="0" fillId="0" borderId="39" xfId="0" applyBorder="1"/>
    <xf numFmtId="0" fontId="10" fillId="0" borderId="40" xfId="0" applyFont="1" applyBorder="1"/>
    <xf numFmtId="43" fontId="10" fillId="0" borderId="40" xfId="59" applyFont="1" applyFill="1" applyBorder="1"/>
    <xf numFmtId="43" fontId="10" fillId="0" borderId="41" xfId="59" applyFont="1" applyFill="1" applyBorder="1"/>
    <xf numFmtId="0" fontId="0" fillId="0" borderId="42" xfId="0" applyBorder="1"/>
    <xf numFmtId="43" fontId="10" fillId="0" borderId="43" xfId="59" applyFont="1" applyFill="1" applyBorder="1"/>
    <xf numFmtId="0" fontId="0" fillId="0" borderId="44" xfId="0" applyBorder="1"/>
    <xf numFmtId="43" fontId="10" fillId="0" borderId="45" xfId="59" applyFont="1" applyFill="1" applyBorder="1"/>
    <xf numFmtId="0" fontId="0" fillId="0" borderId="46" xfId="0" applyBorder="1"/>
    <xf numFmtId="43" fontId="10" fillId="0" borderId="47" xfId="59" applyFont="1" applyFill="1" applyBorder="1"/>
    <xf numFmtId="173" fontId="10" fillId="0" borderId="4" xfId="59" applyNumberFormat="1" applyFont="1" applyBorder="1" applyAlignment="1">
      <alignment horizontal="center" vertical="center"/>
    </xf>
    <xf numFmtId="174" fontId="10" fillId="0" borderId="4" xfId="59" applyNumberFormat="1" applyFont="1" applyBorder="1"/>
    <xf numFmtId="168" fontId="10" fillId="0" borderId="4" xfId="59" applyNumberFormat="1" applyFont="1" applyBorder="1"/>
    <xf numFmtId="2" fontId="10" fillId="0" borderId="4" xfId="59" applyNumberFormat="1" applyFont="1" applyBorder="1" applyAlignment="1">
      <alignment horizontal="center"/>
    </xf>
    <xf numFmtId="0" fontId="40" fillId="52" borderId="4" xfId="0" applyFont="1" applyFill="1" applyBorder="1" applyAlignment="1">
      <alignment horizontal="center" vertical="center"/>
    </xf>
    <xf numFmtId="0" fontId="40" fillId="51" borderId="4" xfId="0" applyFont="1" applyFill="1" applyBorder="1" applyAlignment="1">
      <alignment horizontal="center" vertical="center"/>
    </xf>
    <xf numFmtId="0" fontId="40" fillId="50" borderId="4" xfId="0" applyFont="1" applyFill="1" applyBorder="1" applyAlignment="1">
      <alignment horizontal="center" vertical="center"/>
    </xf>
    <xf numFmtId="0" fontId="11" fillId="4" borderId="27" xfId="0" applyFont="1" applyFill="1" applyBorder="1" applyAlignment="1">
      <alignment horizontal="center" wrapText="1"/>
    </xf>
    <xf numFmtId="0" fontId="11" fillId="4" borderId="8" xfId="0" applyFont="1" applyFill="1" applyBorder="1" applyAlignment="1">
      <alignment horizontal="center" wrapText="1"/>
    </xf>
    <xf numFmtId="0" fontId="11" fillId="4" borderId="31" xfId="0" applyFont="1" applyFill="1" applyBorder="1" applyAlignment="1">
      <alignment horizontal="center" wrapText="1"/>
    </xf>
    <xf numFmtId="0" fontId="11" fillId="55" borderId="48" xfId="0" applyFont="1" applyFill="1" applyBorder="1" applyAlignment="1">
      <alignment horizontal="center" wrapText="1"/>
    </xf>
    <xf numFmtId="0" fontId="11" fillId="55" borderId="10" xfId="0" applyFont="1" applyFill="1" applyBorder="1" applyAlignment="1">
      <alignment horizont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4" xfId="0" applyFont="1" applyBorder="1" applyAlignment="1" applyProtection="1">
      <alignment horizontal="left" vertical="center"/>
      <protection locked="0"/>
    </xf>
    <xf numFmtId="0" fontId="10" fillId="2" borderId="4" xfId="0" applyFont="1" applyFill="1" applyBorder="1" applyAlignment="1">
      <alignment horizontal="center" vertical="center"/>
    </xf>
    <xf numFmtId="2" fontId="10" fillId="0" borderId="4" xfId="59" applyNumberFormat="1" applyFont="1" applyBorder="1" applyAlignment="1">
      <alignment horizontal="center" vertical="center"/>
    </xf>
    <xf numFmtId="0" fontId="11" fillId="3" borderId="0" xfId="0" applyFont="1" applyFill="1" applyAlignment="1">
      <alignment horizontal="center" vertical="center"/>
    </xf>
    <xf numFmtId="0" fontId="11" fillId="3" borderId="0" xfId="0" applyFont="1" applyFill="1" applyAlignment="1">
      <alignment horizontal="centerContinuous" vertical="center" wrapText="1"/>
    </xf>
    <xf numFmtId="0" fontId="51" fillId="55" borderId="48" xfId="0" applyFont="1" applyFill="1" applyBorder="1" applyAlignment="1">
      <alignment horizontal="left"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51" fillId="55" borderId="27" xfId="0" applyFont="1" applyFill="1" applyBorder="1" applyAlignment="1">
      <alignment horizontal="left" wrapText="1"/>
    </xf>
    <xf numFmtId="0" fontId="11" fillId="4" borderId="11" xfId="0" applyFont="1" applyFill="1" applyBorder="1" applyAlignment="1">
      <alignment horizontal="center" vertical="center"/>
    </xf>
    <xf numFmtId="0" fontId="11" fillId="4" borderId="11" xfId="0" applyFont="1" applyFill="1" applyBorder="1" applyAlignment="1">
      <alignment horizontal="center" vertical="center" wrapText="1"/>
    </xf>
    <xf numFmtId="0" fontId="10" fillId="56" borderId="48" xfId="0" applyFont="1" applyFill="1" applyBorder="1" applyAlignment="1">
      <alignment horizontal="left" vertical="center"/>
    </xf>
    <xf numFmtId="0" fontId="10" fillId="56" borderId="48" xfId="0" applyFont="1" applyFill="1" applyBorder="1" applyAlignment="1" applyProtection="1">
      <alignment horizontal="left" vertical="center"/>
      <protection locked="0"/>
    </xf>
    <xf numFmtId="0" fontId="40" fillId="56" borderId="48" xfId="0" applyFont="1" applyFill="1" applyBorder="1" applyAlignment="1">
      <alignment horizontal="center" vertical="center"/>
    </xf>
    <xf numFmtId="0" fontId="10" fillId="56" borderId="48" xfId="0" applyFont="1" applyFill="1" applyBorder="1" applyAlignment="1">
      <alignment horizontal="center" vertical="center"/>
    </xf>
    <xf numFmtId="2" fontId="10" fillId="56" borderId="48" xfId="0" applyNumberFormat="1" applyFont="1" applyFill="1" applyBorder="1" applyAlignment="1">
      <alignment horizontal="center" vertical="center"/>
    </xf>
    <xf numFmtId="2" fontId="10" fillId="56" borderId="48" xfId="59" applyNumberFormat="1" applyFont="1" applyFill="1" applyBorder="1" applyAlignment="1">
      <alignment horizontal="center" vertical="center"/>
    </xf>
    <xf numFmtId="2" fontId="10" fillId="56" borderId="10" xfId="59" applyNumberFormat="1" applyFont="1" applyFill="1" applyBorder="1" applyAlignment="1">
      <alignment horizontal="center" vertical="center"/>
    </xf>
    <xf numFmtId="0" fontId="9" fillId="56" borderId="9" xfId="0" applyFont="1" applyFill="1" applyBorder="1" applyAlignment="1">
      <alignment horizontal="center" vertical="center"/>
    </xf>
    <xf numFmtId="0" fontId="9" fillId="56" borderId="9" xfId="0" applyFont="1" applyFill="1" applyBorder="1" applyAlignment="1">
      <alignment horizontal="left" vertical="center"/>
    </xf>
    <xf numFmtId="10" fontId="10" fillId="0" borderId="4" xfId="7" applyNumberFormat="1" applyFont="1" applyBorder="1" applyAlignment="1">
      <alignment horizontal="center"/>
    </xf>
    <xf numFmtId="0" fontId="38" fillId="0" borderId="0" xfId="0" applyFont="1" applyAlignment="1">
      <alignment horizontal="center"/>
    </xf>
    <xf numFmtId="175" fontId="10" fillId="0" borderId="4" xfId="59" applyNumberFormat="1" applyFont="1" applyBorder="1" applyAlignment="1">
      <alignment horizontal="center" vertical="center"/>
    </xf>
    <xf numFmtId="0" fontId="53" fillId="57" borderId="54" xfId="0" applyFont="1" applyFill="1" applyBorder="1" applyAlignment="1">
      <alignment horizontal="left" vertical="center" wrapText="1"/>
    </xf>
    <xf numFmtId="0" fontId="54" fillId="57" borderId="54" xfId="60" applyFont="1" applyFill="1" applyBorder="1" applyAlignment="1">
      <alignment horizontal="left" vertical="center" wrapText="1"/>
    </xf>
    <xf numFmtId="0" fontId="52" fillId="57" borderId="54" xfId="0" applyFont="1" applyFill="1" applyBorder="1" applyAlignment="1">
      <alignment horizontal="left" vertical="center" wrapText="1"/>
    </xf>
    <xf numFmtId="0" fontId="52" fillId="57" borderId="53" xfId="0" applyFont="1" applyFill="1" applyBorder="1" applyAlignment="1">
      <alignment horizontal="left" vertical="center" wrapText="1"/>
    </xf>
    <xf numFmtId="0" fontId="55" fillId="6" borderId="49" xfId="0" applyFont="1" applyFill="1" applyBorder="1" applyAlignment="1">
      <alignment horizontal="left" vertical="center" wrapText="1"/>
    </xf>
    <xf numFmtId="0" fontId="55" fillId="6" borderId="50" xfId="0" applyFont="1" applyFill="1" applyBorder="1" applyAlignment="1">
      <alignment horizontal="left" vertical="center" wrapText="1"/>
    </xf>
    <xf numFmtId="0" fontId="14" fillId="0" borderId="0" xfId="0" applyFont="1" applyAlignment="1">
      <alignment horizontal="right"/>
    </xf>
    <xf numFmtId="0" fontId="13" fillId="0" borderId="0" xfId="0" applyFont="1" applyAlignment="1">
      <alignment horizontal="left" wrapText="1"/>
    </xf>
    <xf numFmtId="0" fontId="10" fillId="8" borderId="0" xfId="0" applyFont="1" applyFill="1" applyAlignment="1">
      <alignment horizontal="left" vertical="top" wrapText="1"/>
    </xf>
    <xf numFmtId="0" fontId="19" fillId="0" borderId="0" xfId="0" applyFont="1" applyAlignment="1">
      <alignment horizontal="left" wrapText="1"/>
    </xf>
    <xf numFmtId="0" fontId="11" fillId="4" borderId="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48" xfId="0" applyFont="1" applyBorder="1" applyAlignment="1">
      <alignment horizontal="left" vertical="center"/>
    </xf>
    <xf numFmtId="0" fontId="10" fillId="0" borderId="10" xfId="0" applyFont="1" applyBorder="1" applyAlignment="1">
      <alignment horizontal="left" vertical="center"/>
    </xf>
    <xf numFmtId="0" fontId="10" fillId="0" borderId="48" xfId="0" applyFont="1" applyBorder="1" applyAlignment="1">
      <alignment horizontal="left" vertical="center" wrapText="1"/>
    </xf>
    <xf numFmtId="0" fontId="10" fillId="0" borderId="10" xfId="0" applyFont="1" applyBorder="1" applyAlignment="1">
      <alignment horizontal="left" vertical="center" wrapText="1"/>
    </xf>
    <xf numFmtId="0" fontId="11" fillId="4" borderId="4" xfId="0" applyFont="1" applyFill="1" applyBorder="1" applyAlignment="1">
      <alignment horizontal="center" wrapText="1"/>
    </xf>
    <xf numFmtId="0" fontId="11" fillId="4" borderId="4"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29" fillId="3" borderId="0" xfId="60" applyFont="1" applyFill="1" applyAlignment="1">
      <alignment horizontal="center"/>
    </xf>
    <xf numFmtId="0" fontId="27" fillId="3" borderId="8" xfId="60" applyFont="1" applyFill="1" applyBorder="1" applyAlignment="1">
      <alignment horizontal="center"/>
    </xf>
    <xf numFmtId="0" fontId="49" fillId="3" borderId="4" xfId="60" applyFont="1" applyFill="1" applyBorder="1" applyAlignment="1">
      <alignment horizontal="center"/>
    </xf>
    <xf numFmtId="0" fontId="28" fillId="3" borderId="36" xfId="60" applyFont="1" applyFill="1" applyBorder="1" applyAlignment="1">
      <alignment horizontal="center"/>
    </xf>
    <xf numFmtId="0" fontId="49" fillId="54" borderId="8" xfId="60" applyFont="1" applyFill="1" applyBorder="1" applyAlignment="1">
      <alignment horizontal="center"/>
    </xf>
    <xf numFmtId="0" fontId="52" fillId="57" borderId="55" xfId="0" applyFont="1" applyFill="1" applyBorder="1" applyAlignment="1">
      <alignment horizontal="left" vertical="center" wrapText="1"/>
    </xf>
    <xf numFmtId="0" fontId="52" fillId="57" borderId="52" xfId="0" applyFont="1" applyFill="1" applyBorder="1" applyAlignment="1">
      <alignment horizontal="left" vertical="center" wrapText="1"/>
    </xf>
    <xf numFmtId="0" fontId="52" fillId="57" borderId="51" xfId="0" applyFont="1" applyFill="1" applyBorder="1" applyAlignment="1">
      <alignment horizontal="left" vertical="center" wrapText="1"/>
    </xf>
  </cellXfs>
  <cellStyles count="63">
    <cellStyle name="20% - Accent1" xfId="15" builtinId="30" customBuiltin="1"/>
    <cellStyle name="20% - Accent2" xfId="19" builtinId="34" customBuiltin="1"/>
    <cellStyle name="20% - Accent3" xfId="23" builtinId="38" customBuiltin="1"/>
    <cellStyle name="20% - Accent4" xfId="27" builtinId="42" customBuiltin="1"/>
    <cellStyle name="20% - Accent5" xfId="31" builtinId="46" customBuiltin="1"/>
    <cellStyle name="20% - Accent6" xfId="35" builtinId="50" customBuiltin="1"/>
    <cellStyle name="40% - Accent1" xfId="16" builtinId="31" customBuiltin="1"/>
    <cellStyle name="40% - Accent2" xfId="20" builtinId="35" customBuiltin="1"/>
    <cellStyle name="40% - Accent3" xfId="24" builtinId="39" customBuiltin="1"/>
    <cellStyle name="40% - Accent4" xfId="28" builtinId="43" customBuiltin="1"/>
    <cellStyle name="40% - Accent5" xfId="32" builtinId="47" customBuiltin="1"/>
    <cellStyle name="40% - Accent6" xfId="36" builtinId="51" customBuiltin="1"/>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7"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ad" xfId="11" builtinId="27" customBuiltin="1"/>
    <cellStyle name="Calculation 2" xfId="41" xr:uid="{43C1B993-5DED-4D3E-94DC-85DBF4EBAA39}"/>
    <cellStyle name="Calculation 3" xfId="40" xr:uid="{738907DF-1DE0-4B9D-B9C6-49ABA2041F9E}"/>
    <cellStyle name="Check Cell" xfId="13" builtinId="23" customBuiltin="1"/>
    <cellStyle name="Comma" xfId="59" builtinId="3"/>
    <cellStyle name="Comma 2" xfId="8" xr:uid="{B2E1072E-885D-4B56-9BA5-C32463F2DFA0}"/>
    <cellStyle name="Comma 2 2" xfId="43" xr:uid="{F62F5DDD-95AE-4EB4-B95C-00E210CA3E58}"/>
    <cellStyle name="Comma 2 4" xfId="57" xr:uid="{3B32BB32-6024-4B71-9FA5-91DD2EB6C21F}"/>
    <cellStyle name="Comma 3" xfId="42" xr:uid="{4B86B9DF-C930-4C8A-8022-4F989BD5DEF8}"/>
    <cellStyle name="Comma 4" xfId="38" xr:uid="{56758C8F-78E9-4701-9C0F-84617070FE6F}"/>
    <cellStyle name="Explanatory Text 2" xfId="44" xr:uid="{AEBD5EA1-4344-4EE7-A8C9-56F166C96957}"/>
    <cellStyle name="Followed Hyperlink 2" xfId="45" xr:uid="{2D160826-F3A6-4EEB-897E-C2D772E38CB6}"/>
    <cellStyle name="Good" xfId="10"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60" builtinId="8"/>
    <cellStyle name="Hyperlink 2" xfId="46" xr:uid="{23EC4D6F-E8FB-48F5-A951-8895BC73D5B2}"/>
    <cellStyle name="Hyperlink 2 2" xfId="56" xr:uid="{D7112DA6-570B-445B-8EAA-D702ACB9D186}"/>
    <cellStyle name="Hyperlink 3" xfId="62" xr:uid="{5CEA2943-9839-4F0C-A8EC-59CACC779A91}"/>
    <cellStyle name="Input 2" xfId="47" xr:uid="{8B6D0AC5-6985-49B4-AC81-41DC7577F79F}"/>
    <cellStyle name="Input data" xfId="48" xr:uid="{CBBEE136-A7AA-4C25-84F1-0E483A0664C7}"/>
    <cellStyle name="Linked Cell 2" xfId="49" xr:uid="{8E2F6877-EBD2-4383-888B-14F24335119A}"/>
    <cellStyle name="Neutral" xfId="12" builtinId="28" customBuiltin="1"/>
    <cellStyle name="Normal" xfId="0" builtinId="0"/>
    <cellStyle name="Normal 2" xfId="39" xr:uid="{ABA977FC-B052-48AE-A16D-3FACCBACA56F}"/>
    <cellStyle name="Normal 2 2" xfId="50" xr:uid="{5904CC0C-E1AE-48F9-8E14-4A2080D490E0}"/>
    <cellStyle name="Normal 3" xfId="6" xr:uid="{8EE07C36-4B24-4CA3-AB33-AC611A43C6B7}"/>
    <cellStyle name="Note 2" xfId="51" xr:uid="{591974C6-89BF-4682-ADA2-37D649C80CB7}"/>
    <cellStyle name="Output 2" xfId="52" xr:uid="{CA4E0C65-1FAB-4A9F-A871-FF3F3CC5AC7D}"/>
    <cellStyle name="Percent" xfId="7" builtinId="5"/>
    <cellStyle name="Percent 2" xfId="53" xr:uid="{CD67B65B-52B4-447C-8BEB-DE46BEABFC00}"/>
    <cellStyle name="Selection" xfId="54" xr:uid="{36C04DC6-0194-4FF5-880E-EA3A0AD21639}"/>
    <cellStyle name="Title" xfId="9" builtinId="15" customBuiltin="1"/>
    <cellStyle name="Total" xfId="5" builtinId="25" customBuiltin="1"/>
    <cellStyle name="Warning Text 2" xfId="55" xr:uid="{9FB583CA-8A50-4C4A-B6F1-2256C98278C6}"/>
    <cellStyle name="標準 2" xfId="61" xr:uid="{0C9A6BBE-B115-4FAE-B6BC-BC8906AF805C}"/>
    <cellStyle name="標準 3" xfId="58" xr:uid="{27B2C202-CC06-42FF-8904-31D64C84707C}"/>
  </cellStyles>
  <dxfs count="28">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183C73"/>
      <color rgb="FFA6D9F7"/>
      <color rgb="FF366340"/>
      <color rgb="FFFFFFE1"/>
      <color rgb="FFFFFFCC"/>
      <color rgb="FF003F79"/>
      <color rgb="FFF5F17F"/>
      <color rgb="FF046C8B"/>
      <color rgb="FF0095D6"/>
      <color rgb="FFE6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963706994789205E-2"/>
          <c:y val="7.4905836360342232E-2"/>
          <c:w val="0.90152945686873875"/>
          <c:h val="0.87382478468988112"/>
        </c:manualLayout>
      </c:layout>
      <c:barChart>
        <c:barDir val="col"/>
        <c:grouping val="clustered"/>
        <c:varyColors val="0"/>
        <c:ser>
          <c:idx val="0"/>
          <c:order val="0"/>
          <c:tx>
            <c:strRef>
              <c:f>'Uncertainty Analysis'!$B$6</c:f>
              <c:strCache>
                <c:ptCount val="1"/>
                <c:pt idx="0">
                  <c:v>Corn</c:v>
                </c:pt>
              </c:strCache>
            </c:strRef>
          </c:tx>
          <c:spPr>
            <a:solidFill>
              <a:schemeClr val="accent2"/>
            </a:solidFill>
            <a:ln>
              <a:noFill/>
            </a:ln>
            <a:effectLst/>
          </c:spPr>
          <c:invertIfNegative val="0"/>
          <c:errBars>
            <c:errBarType val="both"/>
            <c:errValType val="cust"/>
            <c:noEndCap val="0"/>
            <c:plus>
              <c:numRef>
                <c:f>'Uncertainty Analysis'!$F$11</c:f>
                <c:numCache>
                  <c:formatCode>General</c:formatCode>
                  <c:ptCount val="1"/>
                  <c:pt idx="0">
                    <c:v>-175.20371534474191</c:v>
                  </c:pt>
                </c:numCache>
              </c:numRef>
            </c:plus>
            <c:minus>
              <c:numRef>
                <c:f>'Uncertainty Analysis'!$G$11</c:f>
                <c:numCache>
                  <c:formatCode>General</c:formatCode>
                  <c:ptCount val="1"/>
                  <c:pt idx="0">
                    <c:v>-158.99047150687295</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(kgCO2e per crop cycle)</c:v>
                </c:pt>
              </c:strCache>
            </c:strRef>
          </c:cat>
          <c:val>
            <c:numRef>
              <c:f>'Uncertainty Analysis'!$E$10</c:f>
              <c:numCache>
                <c:formatCode>0.00</c:formatCode>
                <c:ptCount val="1"/>
                <c:pt idx="0">
                  <c:v>-811.82364453444006</c:v>
                </c:pt>
              </c:numCache>
            </c:numRef>
          </c:val>
          <c:extLst>
            <c:ext xmlns:c16="http://schemas.microsoft.com/office/drawing/2014/chart" uri="{C3380CC4-5D6E-409C-BE32-E72D297353CC}">
              <c16:uniqueId val="{00000000-4FC7-4E56-AF24-FAC5C5C74D19}"/>
            </c:ext>
          </c:extLst>
        </c:ser>
        <c:ser>
          <c:idx val="1"/>
          <c:order val="1"/>
          <c:tx>
            <c:strRef>
              <c:f>'Uncertainty Analysis'!$B$12</c:f>
              <c:strCache>
                <c:ptCount val="1"/>
                <c:pt idx="0">
                  <c:v>Winter Wheat</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4FC7-4E56-AF24-FAC5C5C74D19}"/>
              </c:ext>
            </c:extLst>
          </c:dPt>
          <c:errBars>
            <c:errBarType val="both"/>
            <c:errValType val="cust"/>
            <c:noEndCap val="0"/>
            <c:plus>
              <c:numRef>
                <c:f>'Uncertainty Analysis'!$F$17</c:f>
                <c:numCache>
                  <c:formatCode>General</c:formatCode>
                  <c:ptCount val="1"/>
                  <c:pt idx="0">
                    <c:v>-913.14089016917751</c:v>
                  </c:pt>
                </c:numCache>
              </c:numRef>
            </c:plus>
            <c:minus>
              <c:numRef>
                <c:f>'Uncertainty Analysis'!$G$17</c:f>
                <c:numCache>
                  <c:formatCode>General</c:formatCode>
                  <c:ptCount val="1"/>
                  <c:pt idx="0">
                    <c:v>-746.7709205116762</c:v>
                  </c:pt>
                </c:numCache>
              </c:numRef>
            </c:minus>
            <c:spPr>
              <a:noFill/>
              <a:ln w="25400" cap="flat" cmpd="sng" algn="ctr">
                <a:solidFill>
                  <a:schemeClr val="tx1">
                    <a:lumMod val="65000"/>
                    <a:lumOff val="35000"/>
                  </a:schemeClr>
                </a:solidFill>
                <a:round/>
              </a:ln>
              <a:effectLst/>
            </c:spPr>
          </c:errBars>
          <c:val>
            <c:numRef>
              <c:f>'Uncertainty Analysis'!$E$16</c:f>
              <c:numCache>
                <c:formatCode>0.00</c:formatCode>
                <c:ptCount val="1"/>
                <c:pt idx="0">
                  <c:v>-3699.4649916728085</c:v>
                </c:pt>
              </c:numCache>
            </c:numRef>
          </c:val>
          <c:extLst>
            <c:ext xmlns:c16="http://schemas.microsoft.com/office/drawing/2014/chart" uri="{C3380CC4-5D6E-409C-BE32-E72D297353CC}">
              <c16:uniqueId val="{00000003-4FC7-4E56-AF24-FAC5C5C74D19}"/>
            </c:ext>
          </c:extLst>
        </c:ser>
        <c:ser>
          <c:idx val="2"/>
          <c:order val="2"/>
          <c:tx>
            <c:strRef>
              <c:f>'Uncertainty Analysis'!$B$18</c:f>
              <c:strCache>
                <c:ptCount val="1"/>
                <c:pt idx="0">
                  <c:v>Spring Wheat</c:v>
                </c:pt>
              </c:strCache>
            </c:strRef>
          </c:tx>
          <c:spPr>
            <a:solidFill>
              <a:schemeClr val="accent3"/>
            </a:solidFill>
            <a:ln>
              <a:noFill/>
            </a:ln>
            <a:effectLst/>
          </c:spPr>
          <c:invertIfNegative val="0"/>
          <c:errBars>
            <c:errBarType val="both"/>
            <c:errValType val="cust"/>
            <c:noEndCap val="0"/>
            <c:plus>
              <c:numRef>
                <c:f>'Uncertainty Analysis'!$F$23</c:f>
                <c:numCache>
                  <c:formatCode>General</c:formatCode>
                  <c:ptCount val="1"/>
                  <c:pt idx="0">
                    <c:v>-155.69079224850293</c:v>
                  </c:pt>
                </c:numCache>
              </c:numRef>
            </c:plus>
            <c:minus>
              <c:numRef>
                <c:f>'Uncertainty Analysis'!$G$23</c:f>
                <c:numCache>
                  <c:formatCode>General</c:formatCode>
                  <c:ptCount val="1"/>
                  <c:pt idx="0">
                    <c:v>-143.46480375113492</c:v>
                  </c:pt>
                </c:numCache>
              </c:numRef>
            </c:minus>
            <c:spPr>
              <a:noFill/>
              <a:ln w="25400" cap="flat" cmpd="sng" algn="ctr">
                <a:solidFill>
                  <a:schemeClr val="tx1">
                    <a:lumMod val="65000"/>
                    <a:lumOff val="35000"/>
                  </a:schemeClr>
                </a:solidFill>
                <a:round/>
              </a:ln>
              <a:effectLst/>
            </c:spPr>
          </c:errBars>
          <c:val>
            <c:numRef>
              <c:f>'Uncertainty Analysis'!$E$22</c:f>
              <c:numCache>
                <c:formatCode>0.00</c:formatCode>
                <c:ptCount val="1"/>
                <c:pt idx="0">
                  <c:v>-735.57577315995638</c:v>
                </c:pt>
              </c:numCache>
            </c:numRef>
          </c:val>
          <c:extLst>
            <c:ext xmlns:c16="http://schemas.microsoft.com/office/drawing/2014/chart" uri="{C3380CC4-5D6E-409C-BE32-E72D297353CC}">
              <c16:uniqueId val="{00000004-4FC7-4E56-AF24-FAC5C5C74D19}"/>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963706994789205E-2"/>
          <c:y val="7.4905836360342232E-2"/>
          <c:w val="0.90152945686873875"/>
          <c:h val="0.87382478468988112"/>
        </c:manualLayout>
      </c:layout>
      <c:barChart>
        <c:barDir val="col"/>
        <c:grouping val="clustered"/>
        <c:varyColors val="0"/>
        <c:ser>
          <c:idx val="0"/>
          <c:order val="0"/>
          <c:tx>
            <c:strRef>
              <c:f>'Uncertainty Analysis'!$B$6</c:f>
              <c:strCache>
                <c:ptCount val="1"/>
                <c:pt idx="0">
                  <c:v>Corn</c:v>
                </c:pt>
              </c:strCache>
            </c:strRef>
          </c:tx>
          <c:spPr>
            <a:solidFill>
              <a:schemeClr val="accent2"/>
            </a:solidFill>
            <a:ln>
              <a:noFill/>
            </a:ln>
            <a:effectLst/>
          </c:spPr>
          <c:invertIfNegative val="0"/>
          <c:errBars>
            <c:errBarType val="both"/>
            <c:errValType val="cust"/>
            <c:noEndCap val="0"/>
            <c:plus>
              <c:numRef>
                <c:f>'Uncertainty Analysis'!$F$11</c:f>
                <c:numCache>
                  <c:formatCode>General</c:formatCode>
                  <c:ptCount val="1"/>
                  <c:pt idx="0">
                    <c:v>-175.20371534474191</c:v>
                  </c:pt>
                </c:numCache>
              </c:numRef>
            </c:plus>
            <c:minus>
              <c:numRef>
                <c:f>'Uncertainty Analysis'!$G$11</c:f>
                <c:numCache>
                  <c:formatCode>General</c:formatCode>
                  <c:ptCount val="1"/>
                  <c:pt idx="0">
                    <c:v>-158.99047150687295</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(kgCO2e per crop cycle)</c:v>
                </c:pt>
              </c:strCache>
            </c:strRef>
          </c:cat>
          <c:val>
            <c:numRef>
              <c:f>'Uncertainty Analysis'!$E$10</c:f>
              <c:numCache>
                <c:formatCode>0.00</c:formatCode>
                <c:ptCount val="1"/>
                <c:pt idx="0">
                  <c:v>-811.82364453444006</c:v>
                </c:pt>
              </c:numCache>
            </c:numRef>
          </c:val>
          <c:extLst>
            <c:ext xmlns:c16="http://schemas.microsoft.com/office/drawing/2014/chart" uri="{C3380CC4-5D6E-409C-BE32-E72D297353CC}">
              <c16:uniqueId val="{00000000-1A2F-404F-8940-EAE4D00725BB}"/>
            </c:ext>
          </c:extLst>
        </c:ser>
        <c:ser>
          <c:idx val="1"/>
          <c:order val="1"/>
          <c:tx>
            <c:strRef>
              <c:f>'Uncertainty Analysis'!$B$12</c:f>
              <c:strCache>
                <c:ptCount val="1"/>
                <c:pt idx="0">
                  <c:v>Winter Wheat</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3-40A6-432F-B76F-1B64FA650F09}"/>
              </c:ext>
            </c:extLst>
          </c:dPt>
          <c:errBars>
            <c:errBarType val="both"/>
            <c:errValType val="cust"/>
            <c:noEndCap val="0"/>
            <c:plus>
              <c:numRef>
                <c:f>'Uncertainty Analysis'!$F$17</c:f>
                <c:numCache>
                  <c:formatCode>General</c:formatCode>
                  <c:ptCount val="1"/>
                  <c:pt idx="0">
                    <c:v>-913.14089016917751</c:v>
                  </c:pt>
                </c:numCache>
              </c:numRef>
            </c:plus>
            <c:minus>
              <c:numRef>
                <c:f>'Uncertainty Analysis'!$G$17</c:f>
                <c:numCache>
                  <c:formatCode>General</c:formatCode>
                  <c:ptCount val="1"/>
                  <c:pt idx="0">
                    <c:v>-746.7709205116762</c:v>
                  </c:pt>
                </c:numCache>
              </c:numRef>
            </c:minus>
            <c:spPr>
              <a:noFill/>
              <a:ln w="25400" cap="flat" cmpd="sng" algn="ctr">
                <a:solidFill>
                  <a:schemeClr val="tx1">
                    <a:lumMod val="65000"/>
                    <a:lumOff val="35000"/>
                  </a:schemeClr>
                </a:solidFill>
                <a:round/>
              </a:ln>
              <a:effectLst/>
            </c:spPr>
          </c:errBars>
          <c:val>
            <c:numRef>
              <c:f>'Uncertainty Analysis'!$E$16</c:f>
              <c:numCache>
                <c:formatCode>0.00</c:formatCode>
                <c:ptCount val="1"/>
                <c:pt idx="0">
                  <c:v>-3699.4649916728085</c:v>
                </c:pt>
              </c:numCache>
            </c:numRef>
          </c:val>
          <c:extLst>
            <c:ext xmlns:c16="http://schemas.microsoft.com/office/drawing/2014/chart" uri="{C3380CC4-5D6E-409C-BE32-E72D297353CC}">
              <c16:uniqueId val="{00000001-40A6-432F-B76F-1B64FA650F09}"/>
            </c:ext>
          </c:extLst>
        </c:ser>
        <c:ser>
          <c:idx val="2"/>
          <c:order val="2"/>
          <c:tx>
            <c:strRef>
              <c:f>'Uncertainty Analysis'!$B$18</c:f>
              <c:strCache>
                <c:ptCount val="1"/>
                <c:pt idx="0">
                  <c:v>Spring Wheat</c:v>
                </c:pt>
              </c:strCache>
            </c:strRef>
          </c:tx>
          <c:spPr>
            <a:solidFill>
              <a:schemeClr val="accent3"/>
            </a:solidFill>
            <a:ln>
              <a:noFill/>
            </a:ln>
            <a:effectLst/>
          </c:spPr>
          <c:invertIfNegative val="0"/>
          <c:errBars>
            <c:errBarType val="both"/>
            <c:errValType val="cust"/>
            <c:noEndCap val="0"/>
            <c:plus>
              <c:numRef>
                <c:f>'Uncertainty Analysis'!$F$23</c:f>
                <c:numCache>
                  <c:formatCode>General</c:formatCode>
                  <c:ptCount val="1"/>
                  <c:pt idx="0">
                    <c:v>-155.69079224850293</c:v>
                  </c:pt>
                </c:numCache>
              </c:numRef>
            </c:plus>
            <c:minus>
              <c:numRef>
                <c:f>'Uncertainty Analysis'!$G$23</c:f>
                <c:numCache>
                  <c:formatCode>General</c:formatCode>
                  <c:ptCount val="1"/>
                  <c:pt idx="0">
                    <c:v>-143.46480375113492</c:v>
                  </c:pt>
                </c:numCache>
              </c:numRef>
            </c:minus>
            <c:spPr>
              <a:noFill/>
              <a:ln w="25400" cap="flat" cmpd="sng" algn="ctr">
                <a:solidFill>
                  <a:schemeClr val="tx1">
                    <a:lumMod val="65000"/>
                    <a:lumOff val="35000"/>
                  </a:schemeClr>
                </a:solidFill>
                <a:round/>
              </a:ln>
              <a:effectLst/>
            </c:spPr>
          </c:errBars>
          <c:val>
            <c:numRef>
              <c:f>'Uncertainty Analysis'!$E$22</c:f>
              <c:numCache>
                <c:formatCode>0.00</c:formatCode>
                <c:ptCount val="1"/>
                <c:pt idx="0">
                  <c:v>-735.57577315995638</c:v>
                </c:pt>
              </c:numCache>
            </c:numRef>
          </c:val>
          <c:extLst>
            <c:ext xmlns:c16="http://schemas.microsoft.com/office/drawing/2014/chart" uri="{C3380CC4-5D6E-409C-BE32-E72D297353CC}">
              <c16:uniqueId val="{00000002-40A6-432F-B76F-1B64FA650F09}"/>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83C73"/>
            </a:solidFill>
            <a:ln>
              <a:no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Analysis'!$L$7:$L$12</c:f>
              <c:numCache>
                <c:formatCode>0.00%</c:formatCode>
                <c:ptCount val="6"/>
                <c:pt idx="0">
                  <c:v>2.7671034406706596E-5</c:v>
                </c:pt>
                <c:pt idx="1">
                  <c:v>6.6980033633012859E-4</c:v>
                </c:pt>
                <c:pt idx="2">
                  <c:v>-5.0697471370736769E-2</c:v>
                </c:pt>
                <c:pt idx="3">
                  <c:v>2.7671034406706596E-5</c:v>
                </c:pt>
                <c:pt idx="4">
                  <c:v>6.6980033633012859E-4</c:v>
                </c:pt>
                <c:pt idx="5">
                  <c:v>-5.0697471370736769E-2</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Analysis'!$M$7:$M$12</c:f>
              <c:numCache>
                <c:formatCode>0.00%</c:formatCode>
                <c:ptCount val="6"/>
                <c:pt idx="0">
                  <c:v>-2.7671034406484551E-5</c:v>
                </c:pt>
                <c:pt idx="1">
                  <c:v>-6.6980033633023961E-4</c:v>
                </c:pt>
                <c:pt idx="2">
                  <c:v>5.0697471370736658E-2</c:v>
                </c:pt>
                <c:pt idx="3">
                  <c:v>-2.7671034406484551E-5</c:v>
                </c:pt>
                <c:pt idx="4">
                  <c:v>-6.6980033633023961E-4</c:v>
                </c:pt>
                <c:pt idx="5">
                  <c:v>5.069747137073688E-2</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83C73"/>
            </a:solidFill>
            <a:ln>
              <a:solidFill>
                <a:srgbClr val="183C73"/>
              </a:solid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Analysis'!$L$14:$L$19</c:f>
              <c:numCache>
                <c:formatCode>0.00%</c:formatCode>
                <c:ptCount val="6"/>
                <c:pt idx="0">
                  <c:v>6.0722293764303714E-6</c:v>
                </c:pt>
                <c:pt idx="1">
                  <c:v>1.474176810369876E-4</c:v>
                </c:pt>
                <c:pt idx="2">
                  <c:v>-5.0153489910413573E-2</c:v>
                </c:pt>
                <c:pt idx="3">
                  <c:v>6.0722293764303714E-6</c:v>
                </c:pt>
                <c:pt idx="4">
                  <c:v>1.474176810369876E-4</c:v>
                </c:pt>
                <c:pt idx="5">
                  <c:v>-5.0153489910413573E-2</c:v>
                </c:pt>
              </c:numCache>
            </c:numRef>
          </c:val>
          <c:extLst>
            <c:ext xmlns:c16="http://schemas.microsoft.com/office/drawing/2014/chart" uri="{C3380CC4-5D6E-409C-BE32-E72D297353CC}">
              <c16:uniqueId val="{00000000-2645-472A-BAFC-94A00BC68897}"/>
            </c:ext>
          </c:extLst>
        </c:ser>
        <c:ser>
          <c:idx val="1"/>
          <c:order val="1"/>
          <c:spPr>
            <a:solidFill>
              <a:srgbClr val="A6D9F7"/>
            </a:solidFill>
            <a:ln>
              <a:no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Analysis'!$M$14:$M$19</c:f>
              <c:numCache>
                <c:formatCode>0.00%</c:formatCode>
                <c:ptCount val="6"/>
                <c:pt idx="0">
                  <c:v>-6.0722293765413937E-6</c:v>
                </c:pt>
                <c:pt idx="1">
                  <c:v>-1.474176810369876E-4</c:v>
                </c:pt>
                <c:pt idx="2">
                  <c:v>5.0153489910413684E-2</c:v>
                </c:pt>
                <c:pt idx="3">
                  <c:v>-6.0722293765413937E-6</c:v>
                </c:pt>
                <c:pt idx="4">
                  <c:v>-1.474176810369876E-4</c:v>
                </c:pt>
                <c:pt idx="5">
                  <c:v>5.0153489910413462E-2</c:v>
                </c:pt>
              </c:numCache>
            </c:numRef>
          </c:val>
          <c:extLst>
            <c:ext xmlns:c16="http://schemas.microsoft.com/office/drawing/2014/chart" uri="{C3380CC4-5D6E-409C-BE32-E72D297353CC}">
              <c16:uniqueId val="{00000001-2645-472A-BAFC-94A00BC68897}"/>
            </c:ext>
          </c:extLst>
        </c:ser>
        <c:dLbls>
          <c:showLegendKey val="0"/>
          <c:showVal val="0"/>
          <c:showCatName val="0"/>
          <c:showSerName val="0"/>
          <c:showPercent val="0"/>
          <c:showBubbleSize val="0"/>
        </c:dLbls>
        <c:gapWidth val="182"/>
        <c:axId val="850914463"/>
        <c:axId val="618690351"/>
      </c:barChart>
      <c:catAx>
        <c:axId val="85091446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4"/>
            </a:solidFill>
            <a:ln>
              <a:no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Analysis'!$L$21:$L$26</c:f>
              <c:numCache>
                <c:formatCode>0.00%</c:formatCode>
                <c:ptCount val="6"/>
                <c:pt idx="0">
                  <c:v>3.0539341859370239E-5</c:v>
                </c:pt>
                <c:pt idx="1">
                  <c:v>7.3983452148262963E-4</c:v>
                </c:pt>
                <c:pt idx="2">
                  <c:v>-5.0770373863342044E-2</c:v>
                </c:pt>
                <c:pt idx="3">
                  <c:v>3.0539341859370239E-5</c:v>
                </c:pt>
                <c:pt idx="4">
                  <c:v>7.3983452148262963E-4</c:v>
                </c:pt>
                <c:pt idx="5">
                  <c:v>-5.0770373863341822E-2</c:v>
                </c:pt>
              </c:numCache>
            </c:numRef>
          </c:val>
          <c:extLst>
            <c:ext xmlns:c16="http://schemas.microsoft.com/office/drawing/2014/chart" uri="{C3380CC4-5D6E-409C-BE32-E72D297353CC}">
              <c16:uniqueId val="{00000000-37A2-4077-87C2-CB66007F380A}"/>
            </c:ext>
          </c:extLst>
        </c:ser>
        <c:ser>
          <c:idx val="1"/>
          <c:order val="1"/>
          <c:spPr>
            <a:solidFill>
              <a:srgbClr val="A6D9F7"/>
            </a:solidFill>
            <a:ln>
              <a:noFill/>
            </a:ln>
            <a:effectLst/>
          </c:spPr>
          <c:invertIfNegative val="0"/>
          <c:cat>
            <c:strRef>
              <c:f>'Sensitivity Analysis'!$N$7:$N$12</c:f>
              <c:strCache>
                <c:ptCount val="6"/>
                <c:pt idx="0">
                  <c:v>Monitor activity data +5%/-5%</c:v>
                </c:pt>
                <c:pt idx="1">
                  <c:v>Electric Mass Flow Controller  activity data +5%/-5%</c:v>
                </c:pt>
                <c:pt idx="2">
                  <c:v>Fertiliser activity data +5%/-5%</c:v>
                </c:pt>
                <c:pt idx="3">
                  <c:v>Monitor emission factor +5%/-5%</c:v>
                </c:pt>
                <c:pt idx="4">
                  <c:v>Electric Mass Flow Controller  emission factor +5%/-5%</c:v>
                </c:pt>
                <c:pt idx="5">
                  <c:v>Fertiliser emission factor +5%/-5%</c:v>
                </c:pt>
              </c:strCache>
            </c:strRef>
          </c:cat>
          <c:val>
            <c:numRef>
              <c:f>'Sensitivity Analysis'!$M$21:$M$26</c:f>
              <c:numCache>
                <c:formatCode>0.00%</c:formatCode>
                <c:ptCount val="6"/>
                <c:pt idx="0">
                  <c:v>-3.0539341859259217E-5</c:v>
                </c:pt>
                <c:pt idx="1">
                  <c:v>-7.3983452148262963E-4</c:v>
                </c:pt>
                <c:pt idx="2">
                  <c:v>5.0770373863342044E-2</c:v>
                </c:pt>
                <c:pt idx="3">
                  <c:v>-3.0539341859259217E-5</c:v>
                </c:pt>
                <c:pt idx="4">
                  <c:v>-7.3983452148262963E-4</c:v>
                </c:pt>
                <c:pt idx="5">
                  <c:v>5.0770373863342044E-2</c:v>
                </c:pt>
              </c:numCache>
            </c:numRef>
          </c:val>
          <c:extLst>
            <c:ext xmlns:c16="http://schemas.microsoft.com/office/drawing/2014/chart" uri="{C3380CC4-5D6E-409C-BE32-E72D297353CC}">
              <c16:uniqueId val="{00000001-37A2-4077-87C2-CB66007F380A}"/>
            </c:ext>
          </c:extLst>
        </c:ser>
        <c:dLbls>
          <c:showLegendKey val="0"/>
          <c:showVal val="0"/>
          <c:showCatName val="0"/>
          <c:showSerName val="0"/>
          <c:showPercent val="0"/>
          <c:showBubbleSize val="0"/>
        </c:dLbls>
        <c:gapWidth val="182"/>
        <c:axId val="850914463"/>
        <c:axId val="618690351"/>
      </c:barChart>
      <c:catAx>
        <c:axId val="85091446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4572000</xdr:colOff>
      <xdr:row>39</xdr:row>
      <xdr:rowOff>123265</xdr:rowOff>
    </xdr:from>
    <xdr:to>
      <xdr:col>5</xdr:col>
      <xdr:colOff>526677</xdr:colOff>
      <xdr:row>56</xdr:row>
      <xdr:rowOff>82444</xdr:rowOff>
    </xdr:to>
    <xdr:graphicFrame macro="">
      <xdr:nvGraphicFramePr>
        <xdr:cNvPr id="4" name="Chart 3">
          <a:extLst>
            <a:ext uri="{FF2B5EF4-FFF2-40B4-BE49-F238E27FC236}">
              <a16:creationId xmlns:a16="http://schemas.microsoft.com/office/drawing/2014/main" id="{1D181B83-F6AC-4138-B03A-22850ECAA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1018834</xdr:colOff>
      <xdr:row>2</xdr:row>
      <xdr:rowOff>243226</xdr:rowOff>
    </xdr:from>
    <xdr:to>
      <xdr:col>13</xdr:col>
      <xdr:colOff>619124</xdr:colOff>
      <xdr:row>22</xdr:row>
      <xdr:rowOff>47624</xdr:rowOff>
    </xdr:to>
    <xdr:graphicFrame macro="">
      <xdr:nvGraphicFramePr>
        <xdr:cNvPr id="2" name="Chart 1">
          <a:extLst>
            <a:ext uri="{FF2B5EF4-FFF2-40B4-BE49-F238E27FC236}">
              <a16:creationId xmlns:a16="http://schemas.microsoft.com/office/drawing/2014/main" id="{0138A63D-1142-45F7-A741-1C0D4228B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386715</xdr:colOff>
      <xdr:row>28</xdr:row>
      <xdr:rowOff>50429</xdr:rowOff>
    </xdr:from>
    <xdr:to>
      <xdr:col>5</xdr:col>
      <xdr:colOff>840442</xdr:colOff>
      <xdr:row>38</xdr:row>
      <xdr:rowOff>156885</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952500</xdr:colOff>
      <xdr:row>28</xdr:row>
      <xdr:rowOff>56032</xdr:rowOff>
    </xdr:from>
    <xdr:to>
      <xdr:col>11</xdr:col>
      <xdr:colOff>1282961</xdr:colOff>
      <xdr:row>38</xdr:row>
      <xdr:rowOff>162488</xdr:rowOff>
    </xdr:to>
    <xdr:graphicFrame macro="">
      <xdr:nvGraphicFramePr>
        <xdr:cNvPr id="4" name="Chart 3">
          <a:extLst>
            <a:ext uri="{FF2B5EF4-FFF2-40B4-BE49-F238E27FC236}">
              <a16:creationId xmlns:a16="http://schemas.microsoft.com/office/drawing/2014/main" id="{12FC851A-4428-4C88-AABF-F413B19E8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1120589</xdr:colOff>
      <xdr:row>40</xdr:row>
      <xdr:rowOff>33620</xdr:rowOff>
    </xdr:from>
    <xdr:to>
      <xdr:col>7</xdr:col>
      <xdr:colOff>789904</xdr:colOff>
      <xdr:row>50</xdr:row>
      <xdr:rowOff>140076</xdr:rowOff>
    </xdr:to>
    <xdr:graphicFrame macro="">
      <xdr:nvGraphicFramePr>
        <xdr:cNvPr id="5" name="Chart 4">
          <a:extLst>
            <a:ext uri="{FF2B5EF4-FFF2-40B4-BE49-F238E27FC236}">
              <a16:creationId xmlns:a16="http://schemas.microsoft.com/office/drawing/2014/main" id="{8E500D37-18A4-45FA-883E-3BB17CA2A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gov.uk/government/publications/greenhouse-gas-reporting-conversion-factors-2025" TargetMode="External"/><Relationship Id="rId7" Type="http://schemas.openxmlformats.org/officeDocument/2006/relationships/hyperlink" Target="https://www.researchgate.net/publication/344417276_Greenhouse_gas_emissions_from_inorganic_and_organic_fertilizer_production_and_use_A_review_of_emission_factors_and_their_variability" TargetMode="External"/><Relationship Id="rId2" Type="http://schemas.openxmlformats.org/officeDocument/2006/relationships/hyperlink" Target="https://www.gov.uk/government/publications/greenhouse-gas-reporting-conversion-factors-2025" TargetMode="External"/><Relationship Id="rId1" Type="http://schemas.openxmlformats.org/officeDocument/2006/relationships/hyperlink" Target="https://ourworldindata.org/grapher/carbon-intensity-electricity?mapSelect=~JPN" TargetMode="External"/><Relationship Id="rId6" Type="http://schemas.openxmlformats.org/officeDocument/2006/relationships/hyperlink" Target="https://www.ipcc-nggip.iges.or.jp/public/2019rf/pdf/4_Volume4/19R_V4_Ch11_Soils_N2O_CO2.pdf" TargetMode="External"/><Relationship Id="rId5" Type="http://schemas.openxmlformats.org/officeDocument/2006/relationships/hyperlink" Target="https://www.ipcc-nggip.iges.or.jp/public/2019rf/pdf/4_Volume4/19R_V4_Ch11_Soils_N2O_CO2.pdf" TargetMode="External"/><Relationship Id="rId4" Type="http://schemas.openxmlformats.org/officeDocument/2006/relationships/hyperlink" Target="https://www.ipcc-nggip.iges.or.jp/public/2019rf/pdf/4_Volume4/19R_V4_Ch11_Soils_N2O_CO2.pdf"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atershed.com/blog/open-ceda" TargetMode="External"/><Relationship Id="rId1" Type="http://schemas.openxmlformats.org/officeDocument/2006/relationships/hyperlink" Target="https://www.imarcgroup.com/npk-fertiliser-pricing-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codeName="Sheet1">
    <tabColor rgb="FFF5F17F"/>
  </sheetPr>
  <dimension ref="A1:F22"/>
  <sheetViews>
    <sheetView showGridLines="0" tabSelected="1" workbookViewId="0">
      <selection activeCell="B11" sqref="B11"/>
    </sheetView>
  </sheetViews>
  <sheetFormatPr defaultColWidth="8.75" defaultRowHeight="19.5"/>
  <cols>
    <col min="1" max="1" width="4.25" style="2" customWidth="1"/>
    <col min="2" max="2" width="155.875" style="3" customWidth="1"/>
    <col min="3" max="16384" width="8.75" style="2"/>
  </cols>
  <sheetData>
    <row r="1" spans="1:6">
      <c r="A1" s="2" t="s">
        <v>0</v>
      </c>
      <c r="F1" s="2" t="s">
        <v>1</v>
      </c>
    </row>
    <row r="2" spans="1:6">
      <c r="B2" s="25" t="s">
        <v>2</v>
      </c>
    </row>
    <row r="3" spans="1:6">
      <c r="B3" s="26"/>
    </row>
    <row r="4" spans="1:6" ht="36">
      <c r="B4" s="27" t="s">
        <v>3</v>
      </c>
    </row>
    <row r="5" spans="1:6">
      <c r="B5" s="27"/>
    </row>
    <row r="6" spans="1:6">
      <c r="B6" s="29" t="s">
        <v>4</v>
      </c>
    </row>
    <row r="7" spans="1:6">
      <c r="B7" s="27" t="s">
        <v>5</v>
      </c>
    </row>
    <row r="8" spans="1:6" ht="36">
      <c r="B8" s="28" t="s">
        <v>6</v>
      </c>
    </row>
    <row r="9" spans="1:6" ht="36">
      <c r="B9" s="28" t="s">
        <v>7</v>
      </c>
    </row>
    <row r="10" spans="1:6" ht="36">
      <c r="B10" s="28" t="s">
        <v>8</v>
      </c>
    </row>
    <row r="11" spans="1:6">
      <c r="B11" s="29" t="s">
        <v>9</v>
      </c>
    </row>
    <row r="12" spans="1:6" ht="36">
      <c r="B12" s="27" t="s">
        <v>10</v>
      </c>
    </row>
    <row r="13" spans="1:6" ht="36">
      <c r="B13" s="27" t="s">
        <v>11</v>
      </c>
    </row>
    <row r="14" spans="1:6">
      <c r="B14" s="29" t="s">
        <v>12</v>
      </c>
    </row>
    <row r="15" spans="1:6" ht="54">
      <c r="B15" s="27" t="s">
        <v>13</v>
      </c>
    </row>
    <row r="16" spans="1:6">
      <c r="B16" s="29" t="s">
        <v>14</v>
      </c>
    </row>
    <row r="17" spans="2:2">
      <c r="B17" s="27" t="s">
        <v>15</v>
      </c>
    </row>
    <row r="18" spans="2:2">
      <c r="B18" s="27" t="s">
        <v>16</v>
      </c>
    </row>
    <row r="19" spans="2:2">
      <c r="B19" s="27" t="s">
        <v>17</v>
      </c>
    </row>
    <row r="20" spans="2:2" ht="36">
      <c r="B20" s="27" t="s">
        <v>18</v>
      </c>
    </row>
    <row r="21" spans="2:2">
      <c r="B21" s="27"/>
    </row>
    <row r="22" spans="2:2" ht="54">
      <c r="B22" s="27"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codeName="Sheet2">
    <tabColor rgb="FF366340"/>
  </sheetPr>
  <dimension ref="A2:I39"/>
  <sheetViews>
    <sheetView showGridLines="0" zoomScale="85" zoomScaleNormal="85" workbookViewId="0"/>
  </sheetViews>
  <sheetFormatPr defaultColWidth="8.75" defaultRowHeight="24.75"/>
  <cols>
    <col min="1" max="1" width="10.875" style="2" customWidth="1"/>
    <col min="2" max="2" width="74.875" style="2" customWidth="1"/>
    <col min="3" max="6" width="24.5" style="2" customWidth="1"/>
    <col min="7" max="7" width="32.375" style="2" customWidth="1"/>
    <col min="8" max="8" width="33.75" style="2" customWidth="1"/>
    <col min="9" max="9" width="32.625" style="2" customWidth="1"/>
    <col min="10" max="12" width="8.75" style="37"/>
    <col min="13" max="13" width="8.75" style="37" customWidth="1"/>
    <col min="14" max="16384" width="8.75" style="37"/>
  </cols>
  <sheetData>
    <row r="2" spans="2:7" ht="27">
      <c r="B2" s="228" t="s">
        <v>20</v>
      </c>
      <c r="C2" s="228"/>
      <c r="D2" s="228"/>
      <c r="E2" s="228"/>
      <c r="F2" s="228"/>
    </row>
    <row r="3" spans="2:7" ht="87.75" customHeight="1">
      <c r="B3" s="229" t="s">
        <v>21</v>
      </c>
      <c r="C3" s="229"/>
      <c r="D3" s="229"/>
      <c r="E3" s="229"/>
      <c r="F3" s="229"/>
    </row>
    <row r="4" spans="2:7">
      <c r="B4" s="123"/>
      <c r="C4" s="123"/>
      <c r="D4" s="123"/>
      <c r="E4" s="123"/>
      <c r="F4" s="123"/>
      <c r="G4" s="143"/>
    </row>
    <row r="6" spans="2:7" ht="27">
      <c r="B6" s="228" t="s">
        <v>22</v>
      </c>
      <c r="C6" s="228"/>
      <c r="D6" s="228"/>
      <c r="E6" s="228"/>
      <c r="F6" s="228"/>
    </row>
    <row r="7" spans="2:7">
      <c r="B7" s="230" t="s">
        <v>23</v>
      </c>
      <c r="C7" s="230"/>
      <c r="D7" s="230"/>
      <c r="E7" s="230"/>
      <c r="F7" s="230"/>
    </row>
    <row r="8" spans="2:7" ht="42.95" customHeight="1">
      <c r="B8" s="229" t="s">
        <v>24</v>
      </c>
      <c r="C8" s="229"/>
      <c r="D8" s="229"/>
      <c r="E8" s="229"/>
      <c r="F8" s="229"/>
    </row>
    <row r="9" spans="2:7">
      <c r="B9" s="230" t="s">
        <v>25</v>
      </c>
      <c r="C9" s="230"/>
      <c r="D9" s="230"/>
      <c r="E9" s="230"/>
      <c r="F9" s="230"/>
    </row>
    <row r="10" spans="2:7" ht="44.45" customHeight="1">
      <c r="B10" s="229" t="s">
        <v>26</v>
      </c>
      <c r="C10" s="229"/>
      <c r="D10" s="229"/>
      <c r="E10" s="229"/>
      <c r="F10" s="229"/>
    </row>
    <row r="11" spans="2:7" ht="24.75" customHeight="1">
      <c r="B11" s="230" t="s">
        <v>338</v>
      </c>
      <c r="C11" s="230"/>
      <c r="D11" s="230"/>
      <c r="E11" s="230"/>
      <c r="F11" s="230"/>
    </row>
    <row r="12" spans="2:7" ht="36" customHeight="1">
      <c r="B12" s="229" t="s">
        <v>337</v>
      </c>
      <c r="C12" s="229"/>
      <c r="D12" s="229"/>
      <c r="E12" s="229"/>
      <c r="F12" s="229"/>
    </row>
    <row r="13" spans="2:7">
      <c r="B13" s="144"/>
      <c r="C13" s="123"/>
      <c r="D13" s="123"/>
      <c r="E13" s="123"/>
      <c r="F13" s="123"/>
      <c r="G13" s="143"/>
    </row>
    <row r="14" spans="2:7" ht="27">
      <c r="B14" s="86" t="s">
        <v>27</v>
      </c>
      <c r="C14" s="165"/>
      <c r="D14" s="166" t="s">
        <v>28</v>
      </c>
      <c r="E14" s="166" t="s">
        <v>29</v>
      </c>
      <c r="F14" s="166" t="s">
        <v>30</v>
      </c>
    </row>
    <row r="15" spans="2:7">
      <c r="B15" s="82" t="s">
        <v>31</v>
      </c>
      <c r="C15" s="83" t="s">
        <v>32</v>
      </c>
      <c r="D15" s="83" t="s">
        <v>32</v>
      </c>
      <c r="E15" s="83" t="s">
        <v>32</v>
      </c>
      <c r="F15" s="83" t="s">
        <v>32</v>
      </c>
    </row>
    <row r="16" spans="2:7">
      <c r="B16" s="82" t="s">
        <v>33</v>
      </c>
      <c r="C16" s="84" t="s">
        <v>34</v>
      </c>
      <c r="D16" s="84" t="s">
        <v>34</v>
      </c>
      <c r="E16" s="84" t="s">
        <v>34</v>
      </c>
      <c r="F16" s="84" t="s">
        <v>34</v>
      </c>
    </row>
    <row r="17" spans="2:8">
      <c r="B17" s="82" t="s">
        <v>35</v>
      </c>
      <c r="C17" s="85">
        <v>2022</v>
      </c>
      <c r="D17" s="83" t="s">
        <v>36</v>
      </c>
      <c r="E17" s="83" t="s">
        <v>37</v>
      </c>
      <c r="F17" s="83" t="s">
        <v>38</v>
      </c>
    </row>
    <row r="19" spans="2:8">
      <c r="B19" s="230" t="s">
        <v>39</v>
      </c>
      <c r="C19" s="230"/>
      <c r="D19" s="230"/>
      <c r="E19" s="230"/>
      <c r="F19" s="230"/>
    </row>
    <row r="20" spans="2:8" ht="24" customHeight="1">
      <c r="B20" s="87" t="s">
        <v>40</v>
      </c>
      <c r="C20" s="40" t="s">
        <v>28</v>
      </c>
      <c r="D20" s="40" t="s">
        <v>29</v>
      </c>
      <c r="E20" s="40" t="s">
        <v>41</v>
      </c>
    </row>
    <row r="21" spans="2:8">
      <c r="B21" s="87" t="s">
        <v>42</v>
      </c>
      <c r="C21" s="40">
        <v>1.2</v>
      </c>
      <c r="D21" s="40">
        <v>4.5999999999999996</v>
      </c>
      <c r="E21" s="40">
        <v>2.7</v>
      </c>
    </row>
    <row r="22" spans="2:8">
      <c r="B22" s="87" t="s">
        <v>43</v>
      </c>
      <c r="C22" s="40" t="s">
        <v>44</v>
      </c>
      <c r="D22" s="40" t="s">
        <v>44</v>
      </c>
      <c r="E22" s="40" t="s">
        <v>44</v>
      </c>
    </row>
    <row r="24" spans="2:8">
      <c r="B24" s="38" t="s">
        <v>45</v>
      </c>
      <c r="C24" s="126" t="s">
        <v>46</v>
      </c>
      <c r="D24" s="126" t="s">
        <v>314</v>
      </c>
      <c r="E24" s="126" t="s">
        <v>42</v>
      </c>
      <c r="F24" s="126" t="s">
        <v>315</v>
      </c>
    </row>
    <row r="25" spans="2:8">
      <c r="B25" s="171" t="s">
        <v>28</v>
      </c>
      <c r="C25" s="77">
        <f>Backend!F26</f>
        <v>7204.0003995918132</v>
      </c>
      <c r="D25" s="23"/>
      <c r="E25" s="146">
        <f>Backend!F30</f>
        <v>1.2</v>
      </c>
      <c r="F25" s="23"/>
    </row>
    <row r="26" spans="2:8">
      <c r="B26" s="171" t="s">
        <v>29</v>
      </c>
      <c r="C26" s="77">
        <f>Backend!F32</f>
        <v>6499.0525433203211</v>
      </c>
      <c r="D26" s="23"/>
      <c r="E26" s="146">
        <f>Backend!F34</f>
        <v>4.5999999999999996</v>
      </c>
      <c r="F26" s="23"/>
    </row>
    <row r="27" spans="2:8">
      <c r="B27" s="171" t="s">
        <v>41</v>
      </c>
      <c r="C27" s="77">
        <f>Backend!F36</f>
        <v>3900.9076023391808</v>
      </c>
      <c r="D27" s="23"/>
      <c r="E27" s="146">
        <f>Backend!F39</f>
        <v>2.7</v>
      </c>
      <c r="F27" s="23"/>
    </row>
    <row r="28" spans="2:8">
      <c r="B28" s="173"/>
      <c r="C28" s="173"/>
      <c r="D28" s="173"/>
      <c r="E28" s="173"/>
      <c r="F28" s="173"/>
    </row>
    <row r="29" spans="2:8" ht="7.5" customHeight="1">
      <c r="B29" s="37"/>
      <c r="C29" s="37"/>
      <c r="D29" s="37"/>
      <c r="E29" s="37"/>
      <c r="F29" s="37"/>
    </row>
    <row r="30" spans="2:8" ht="27">
      <c r="B30" s="228" t="s">
        <v>47</v>
      </c>
      <c r="C30" s="228"/>
      <c r="D30" s="228"/>
      <c r="E30" s="228"/>
      <c r="F30" s="86"/>
    </row>
    <row r="31" spans="2:8">
      <c r="C31" s="172" t="s">
        <v>28</v>
      </c>
      <c r="D31" s="172" t="s">
        <v>29</v>
      </c>
      <c r="E31" s="172" t="s">
        <v>41</v>
      </c>
      <c r="H31" s="1"/>
    </row>
    <row r="32" spans="2:8">
      <c r="B32" s="2" t="s">
        <v>50</v>
      </c>
      <c r="C32" s="78">
        <f>(SUM(Backend!F27:F30)-SUM(Backend!E27:E29))/SUM(Backend!E27:E29)</f>
        <v>-0.19925493490889012</v>
      </c>
      <c r="D32" s="78">
        <f>(SUM(Backend!F33)-SUM(Backend!E33))/SUM(Backend!E33)</f>
        <v>-0.46886703092670856</v>
      </c>
      <c r="E32" s="78">
        <f>(SUM(Backend!F37:F38)-SUM(Backend!E37:E38))/SUM(Backend!E37:E38)</f>
        <v>-0.13877259623564248</v>
      </c>
      <c r="H32" s="1"/>
    </row>
    <row r="33" spans="1:9">
      <c r="B33" s="2" t="s">
        <v>310</v>
      </c>
      <c r="C33" s="184">
        <f>Backend!M49</f>
        <v>-9.3908893150121492E-2</v>
      </c>
      <c r="D33" s="184">
        <f>Backend!N49</f>
        <v>-0.12374596367211323</v>
      </c>
      <c r="E33" s="184">
        <f>Backend!O49</f>
        <v>-6.983899628316205E-2</v>
      </c>
      <c r="F33" s="2" t="s">
        <v>49</v>
      </c>
      <c r="H33" s="1"/>
    </row>
    <row r="34" spans="1:9">
      <c r="B34" s="2" t="s">
        <v>311</v>
      </c>
      <c r="C34" s="220">
        <f>Backend!M50</f>
        <v>-811.82364453444006</v>
      </c>
      <c r="D34" s="220">
        <f>Backend!N50</f>
        <v>-3699.4649916728085</v>
      </c>
      <c r="E34" s="220">
        <f>Backend!O50</f>
        <v>-735.5757731599565</v>
      </c>
      <c r="F34" s="2" t="s">
        <v>48</v>
      </c>
      <c r="H34" s="1"/>
    </row>
    <row r="35" spans="1:9" s="42" customFormat="1">
      <c r="A35" s="2"/>
      <c r="B35" s="123"/>
      <c r="C35" s="123"/>
      <c r="D35" s="123"/>
      <c r="E35" s="123"/>
      <c r="F35" s="123"/>
      <c r="G35" s="2"/>
      <c r="H35" s="2"/>
      <c r="I35" s="2"/>
    </row>
    <row r="37" spans="1:9" ht="27">
      <c r="B37" s="86" t="s">
        <v>51</v>
      </c>
      <c r="C37" s="172" t="s">
        <v>28</v>
      </c>
      <c r="D37" s="172" t="s">
        <v>29</v>
      </c>
      <c r="E37" s="172" t="s">
        <v>30</v>
      </c>
      <c r="F37" s="86"/>
    </row>
    <row r="38" spans="1:9">
      <c r="B38" s="30" t="s">
        <v>312</v>
      </c>
      <c r="C38" s="220">
        <f>'Uncertainty Analysis'!G10</f>
        <v>-652.83317302756711</v>
      </c>
      <c r="D38" s="220">
        <f>'Uncertainty Analysis'!$G$16</f>
        <v>-2952.6940711611323</v>
      </c>
      <c r="E38" s="220">
        <f>'Uncertainty Analysis'!$G$22</f>
        <v>-592.11096940882146</v>
      </c>
      <c r="F38" s="2" t="s">
        <v>48</v>
      </c>
      <c r="G38" s="44"/>
      <c r="H38" s="44"/>
      <c r="I38" s="44"/>
    </row>
    <row r="39" spans="1:9">
      <c r="B39" s="30" t="s">
        <v>313</v>
      </c>
      <c r="C39" s="220">
        <f>'Uncertainty Analysis'!F10</f>
        <v>-987.02735987918197</v>
      </c>
      <c r="D39" s="220">
        <f>'Uncertainty Analysis'!$F$16</f>
        <v>-4612.605881841986</v>
      </c>
      <c r="E39" s="220">
        <f>'Uncertainty Analysis'!$F$22</f>
        <v>-891.26656540845931</v>
      </c>
      <c r="F39" s="2" t="s">
        <v>48</v>
      </c>
      <c r="G39" s="44"/>
      <c r="H39" s="44"/>
      <c r="I39" s="44"/>
    </row>
  </sheetData>
  <sheetProtection sort="0" pivotTables="0"/>
  <mergeCells count="11">
    <mergeCell ref="B30:E30"/>
    <mergeCell ref="B3:F3"/>
    <mergeCell ref="B2:F2"/>
    <mergeCell ref="B19:F19"/>
    <mergeCell ref="B6:F6"/>
    <mergeCell ref="B8:F8"/>
    <mergeCell ref="B7:F7"/>
    <mergeCell ref="B9:F9"/>
    <mergeCell ref="B10:F10"/>
    <mergeCell ref="B11:F11"/>
    <mergeCell ref="B12:F12"/>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codeName="Sheet3">
    <tabColor rgb="FF046C8B"/>
  </sheetPr>
  <dimension ref="A2:V100"/>
  <sheetViews>
    <sheetView showGridLines="0" zoomScale="60" zoomScaleNormal="60" workbookViewId="0"/>
  </sheetViews>
  <sheetFormatPr defaultColWidth="8.75" defaultRowHeight="19.5"/>
  <cols>
    <col min="1" max="1" width="4.125" style="2" customWidth="1"/>
    <col min="2" max="2" width="40.375" style="2" customWidth="1"/>
    <col min="3" max="3" width="44.75" style="2" customWidth="1"/>
    <col min="4" max="4" width="32.625" style="2" customWidth="1"/>
    <col min="5" max="5" width="28.875" style="2" customWidth="1"/>
    <col min="6" max="7" width="15.75" style="2" customWidth="1"/>
    <col min="8" max="8" width="3.625" style="2" customWidth="1"/>
    <col min="9" max="9" width="4.25" style="21" customWidth="1"/>
    <col min="10" max="10" width="47.125" style="2" customWidth="1"/>
    <col min="11" max="11" width="104.125" style="2" customWidth="1"/>
    <col min="12" max="12" width="17.875" style="2" customWidth="1"/>
    <col min="13" max="13" width="16.75" style="2" customWidth="1"/>
    <col min="14" max="14" width="15.125" style="2" customWidth="1"/>
    <col min="15" max="15" width="14" style="2" customWidth="1"/>
    <col min="16" max="17" width="8.75" style="2"/>
    <col min="18" max="20" width="14" style="2" customWidth="1"/>
    <col min="21" max="21" width="14.75" style="2" customWidth="1"/>
    <col min="22" max="16384" width="8.75" style="2"/>
  </cols>
  <sheetData>
    <row r="2" spans="1:20" ht="25.5">
      <c r="B2" s="20" t="s">
        <v>52</v>
      </c>
      <c r="J2" s="20" t="s">
        <v>53</v>
      </c>
      <c r="K2" s="76" t="s">
        <v>54</v>
      </c>
    </row>
    <row r="4" spans="1:20">
      <c r="B4" s="22" t="s">
        <v>39</v>
      </c>
      <c r="C4" s="22" t="s">
        <v>55</v>
      </c>
      <c r="D4" s="22" t="s">
        <v>56</v>
      </c>
      <c r="E4" s="22"/>
      <c r="F4" s="65"/>
      <c r="J4" s="1" t="s">
        <v>57</v>
      </c>
      <c r="M4" s="102" t="s">
        <v>58</v>
      </c>
      <c r="N4" s="102" t="s">
        <v>29</v>
      </c>
      <c r="O4" s="102" t="s">
        <v>30</v>
      </c>
      <c r="R4"/>
      <c r="S4"/>
      <c r="T4"/>
    </row>
    <row r="5" spans="1:20">
      <c r="B5" s="23" t="str">
        <f>Calculator!B20</f>
        <v>Crop Type</v>
      </c>
      <c r="C5" s="23" t="s">
        <v>59</v>
      </c>
      <c r="D5" s="23" t="s">
        <v>28</v>
      </c>
      <c r="E5" s="23" t="s">
        <v>29</v>
      </c>
      <c r="F5" s="23" t="s">
        <v>41</v>
      </c>
      <c r="J5" s="22" t="s">
        <v>60</v>
      </c>
      <c r="K5" s="22" t="s">
        <v>61</v>
      </c>
      <c r="L5" s="22" t="s">
        <v>55</v>
      </c>
      <c r="M5" s="104" t="s">
        <v>56</v>
      </c>
      <c r="N5" s="104"/>
      <c r="O5" s="104"/>
      <c r="R5"/>
      <c r="S5"/>
      <c r="T5"/>
    </row>
    <row r="6" spans="1:20">
      <c r="B6" s="23" t="s">
        <v>62</v>
      </c>
      <c r="C6" s="23" t="s">
        <v>63</v>
      </c>
      <c r="D6" s="23">
        <v>4</v>
      </c>
      <c r="E6" s="23">
        <v>10</v>
      </c>
      <c r="F6" s="23">
        <v>6</v>
      </c>
      <c r="J6" s="8" t="s">
        <v>64</v>
      </c>
      <c r="K6" s="23" t="s">
        <v>65</v>
      </c>
      <c r="L6" s="52" t="s">
        <v>48</v>
      </c>
      <c r="M6" s="149">
        <f>$E$27*$E$55*$E$65*$E$63</f>
        <v>482.625</v>
      </c>
      <c r="N6" s="63">
        <f>$E$33*$E$55*$E$65*$E$63</f>
        <v>5949.5135700000001</v>
      </c>
      <c r="O6" s="63">
        <f>$E$37*$E$63*$E$65*$E$55</f>
        <v>928.72494000000017</v>
      </c>
      <c r="R6"/>
      <c r="S6"/>
      <c r="T6"/>
    </row>
    <row r="7" spans="1:20">
      <c r="J7" s="8" t="s">
        <v>66</v>
      </c>
      <c r="K7" s="23" t="s">
        <v>67</v>
      </c>
      <c r="L7" s="52" t="s">
        <v>48</v>
      </c>
      <c r="M7" s="149">
        <f>((E27*$B$70)+($C$70*E27))*$E$65*$E$63</f>
        <v>228.76424999999995</v>
      </c>
      <c r="N7" s="64">
        <f>((E33*$B$70)+($C$70*E33))*$E$65*$E$63</f>
        <v>2820.0694321799992</v>
      </c>
      <c r="O7" s="64">
        <f>((E37*$B$70)+($C$70*E37))*$E$65*$E$63</f>
        <v>440.21562156000005</v>
      </c>
      <c r="R7"/>
      <c r="S7"/>
      <c r="T7"/>
    </row>
    <row r="8" spans="1:20">
      <c r="J8" s="23" t="s">
        <v>68</v>
      </c>
      <c r="K8" s="23" t="s">
        <v>69</v>
      </c>
      <c r="L8" s="52" t="s">
        <v>48</v>
      </c>
      <c r="M8" s="149">
        <f>(M6+M7)</f>
        <v>711.38924999999995</v>
      </c>
      <c r="N8" s="147">
        <f>ReferenceFertiliser_Base_use_direct_emissionsWINTER_WHEAT+ReferenceFertiliser_Base_use_indirect_emissionsWINTER_WHEAT</f>
        <v>8769.5830021799993</v>
      </c>
      <c r="O8" s="63">
        <f>SUM(ReferenceFertiliser_Base_use_direct_emissionsSPRING_WHEAT,ReferenceFertiliser_Base_use_indirect_emissionsSPRING_WHEAT)</f>
        <v>1368.9405615600003</v>
      </c>
      <c r="R8"/>
      <c r="S8"/>
      <c r="T8"/>
    </row>
    <row r="9" spans="1:20">
      <c r="B9" s="1" t="s">
        <v>70</v>
      </c>
      <c r="J9" s="8" t="s">
        <v>71</v>
      </c>
      <c r="K9" s="23" t="s">
        <v>65</v>
      </c>
      <c r="L9" s="52" t="s">
        <v>48</v>
      </c>
      <c r="M9" s="64">
        <f>E28*$E$63*$E$65*$E$55</f>
        <v>540.54</v>
      </c>
      <c r="N9" s="109"/>
      <c r="O9" s="64">
        <f>$E$38*$E$63*$E$65*$E$55</f>
        <v>799.22699999999998</v>
      </c>
      <c r="R9"/>
      <c r="S9"/>
      <c r="T9"/>
    </row>
    <row r="10" spans="1:20">
      <c r="B10" s="22" t="s">
        <v>45</v>
      </c>
      <c r="C10" s="22" t="s">
        <v>72</v>
      </c>
      <c r="D10" s="22" t="s">
        <v>55</v>
      </c>
      <c r="E10" s="22" t="s">
        <v>56</v>
      </c>
      <c r="J10" s="8" t="s">
        <v>73</v>
      </c>
      <c r="K10" s="23" t="s">
        <v>67</v>
      </c>
      <c r="L10" s="52" t="s">
        <v>48</v>
      </c>
      <c r="M10" s="64">
        <f>((E28*$B$70)+($C$70*E28))*$E$65*$E$63</f>
        <v>256.21596</v>
      </c>
      <c r="N10" s="109"/>
      <c r="O10" s="64">
        <f>((E38*$B$70)+($C$70*E38))*$E$65*$E$63</f>
        <v>378.83359799999999</v>
      </c>
      <c r="R10"/>
      <c r="S10"/>
      <c r="T10"/>
    </row>
    <row r="11" spans="1:20">
      <c r="B11" s="50" t="s">
        <v>74</v>
      </c>
      <c r="C11" s="23" t="s">
        <v>28</v>
      </c>
      <c r="D11" s="23" t="str">
        <f>'Reference Data'!F7</f>
        <v>kg/ha</v>
      </c>
      <c r="E11" s="64">
        <v>5866.02</v>
      </c>
      <c r="J11" s="23" t="s">
        <v>75</v>
      </c>
      <c r="K11" s="23" t="s">
        <v>69</v>
      </c>
      <c r="L11" s="52" t="s">
        <v>48</v>
      </c>
      <c r="M11" s="64">
        <f>(M9+M10)</f>
        <v>796.75595999999996</v>
      </c>
      <c r="N11" s="109"/>
      <c r="O11" s="64">
        <f>(O9+O10)</f>
        <v>1178.060598</v>
      </c>
      <c r="R11"/>
      <c r="S11"/>
      <c r="T11"/>
    </row>
    <row r="12" spans="1:20">
      <c r="B12" s="49" t="s">
        <v>76</v>
      </c>
      <c r="C12" s="23" t="s">
        <v>28</v>
      </c>
      <c r="D12" s="23" t="str">
        <f>'Reference Data'!F8</f>
        <v>kg/ha</v>
      </c>
      <c r="E12" s="64">
        <v>75</v>
      </c>
      <c r="J12" s="8" t="s">
        <v>77</v>
      </c>
      <c r="K12" s="23" t="s">
        <v>65</v>
      </c>
      <c r="L12" s="52" t="s">
        <v>48</v>
      </c>
      <c r="M12" s="64">
        <f>$E$29*$E$63*$E$65*$E$55</f>
        <v>592.02</v>
      </c>
      <c r="N12" s="109"/>
      <c r="O12" s="109"/>
      <c r="R12"/>
      <c r="S12"/>
      <c r="T12"/>
    </row>
    <row r="13" spans="1:20">
      <c r="B13" s="55" t="s">
        <v>78</v>
      </c>
      <c r="C13" s="23" t="s">
        <v>28</v>
      </c>
      <c r="D13" s="23" t="s">
        <v>79</v>
      </c>
      <c r="E13" s="64">
        <v>84</v>
      </c>
      <c r="J13" s="8" t="s">
        <v>80</v>
      </c>
      <c r="K13" s="23" t="s">
        <v>67</v>
      </c>
      <c r="L13" s="52" t="s">
        <v>48</v>
      </c>
      <c r="M13" s="64">
        <f>((E29*$B$70)+($C$70*E29))*$E$65*$E$63</f>
        <v>280.61747999999994</v>
      </c>
      <c r="N13" s="109"/>
      <c r="O13" s="109"/>
      <c r="R13"/>
      <c r="S13"/>
      <c r="T13"/>
    </row>
    <row r="14" spans="1:20">
      <c r="B14" s="55" t="s">
        <v>81</v>
      </c>
      <c r="C14" s="23" t="s">
        <v>28</v>
      </c>
      <c r="D14" s="23" t="s">
        <v>79</v>
      </c>
      <c r="E14" s="64">
        <v>92</v>
      </c>
      <c r="J14" s="153" t="s">
        <v>82</v>
      </c>
      <c r="K14" s="153" t="s">
        <v>69</v>
      </c>
      <c r="L14" s="59" t="s">
        <v>48</v>
      </c>
      <c r="M14" s="75">
        <f>(M12+M13)</f>
        <v>872.63747999999987</v>
      </c>
      <c r="N14" s="154"/>
      <c r="O14" s="154"/>
      <c r="R14"/>
      <c r="S14"/>
      <c r="T14"/>
    </row>
    <row r="15" spans="1:20" ht="20.25" thickBot="1">
      <c r="A15" s="45"/>
      <c r="B15" s="48" t="s">
        <v>83</v>
      </c>
      <c r="C15" s="100" t="s">
        <v>28</v>
      </c>
      <c r="D15" s="100" t="str">
        <f>'Reference Data'!F14</f>
        <v>ha</v>
      </c>
      <c r="E15" s="110">
        <v>1.5</v>
      </c>
      <c r="F15" s="45"/>
      <c r="G15" s="45"/>
      <c r="J15" s="161" t="s">
        <v>84</v>
      </c>
      <c r="K15" s="161" t="s">
        <v>85</v>
      </c>
      <c r="L15" s="162" t="s">
        <v>48</v>
      </c>
      <c r="M15" s="163">
        <f>SUM(E27:E29)*E64</f>
        <v>2070.75</v>
      </c>
      <c r="N15" s="163">
        <f>E33*E64</f>
        <v>7627.5815000000002</v>
      </c>
      <c r="O15" s="163">
        <f>SUM(E37:E38)*E64</f>
        <v>2215.3230000000003</v>
      </c>
      <c r="R15"/>
      <c r="S15"/>
      <c r="T15"/>
    </row>
    <row r="16" spans="1:20">
      <c r="B16" s="50" t="s">
        <v>74</v>
      </c>
      <c r="C16" s="98" t="s">
        <v>29</v>
      </c>
      <c r="D16" s="98" t="s">
        <v>79</v>
      </c>
      <c r="E16" s="99">
        <v>5890.93</v>
      </c>
      <c r="F16" s="45"/>
      <c r="G16" s="45"/>
      <c r="J16" s="98" t="s">
        <v>86</v>
      </c>
      <c r="K16" s="98" t="s">
        <v>87</v>
      </c>
      <c r="L16" s="155" t="s">
        <v>48</v>
      </c>
      <c r="M16" s="99">
        <f>SUM(M8,M11,M14,M15)</f>
        <v>4451.53269</v>
      </c>
      <c r="N16" s="99">
        <f>SUM(N8,N11,N14,N15)</f>
        <v>16397.16450218</v>
      </c>
      <c r="O16" s="99">
        <f>SUM(O8,O11,O14,O15)</f>
        <v>4762.3241595600011</v>
      </c>
      <c r="R16"/>
      <c r="S16"/>
      <c r="T16"/>
    </row>
    <row r="17" spans="1:22">
      <c r="B17" s="49" t="s">
        <v>76</v>
      </c>
      <c r="C17" s="23" t="s">
        <v>29</v>
      </c>
      <c r="D17" s="23" t="s">
        <v>79</v>
      </c>
      <c r="E17" s="24">
        <v>206.99</v>
      </c>
      <c r="F17" s="45"/>
      <c r="G17" s="45"/>
      <c r="J17" s="23" t="s">
        <v>88</v>
      </c>
      <c r="K17" s="23" t="s">
        <v>89</v>
      </c>
      <c r="L17" s="23" t="s">
        <v>90</v>
      </c>
      <c r="M17" s="34">
        <f>referenceSum_of_all_fertiliser_emissions_CORN/E26</f>
        <v>0.75886704583513442</v>
      </c>
      <c r="N17" s="34">
        <f>ReferenceTotal_Emissions_Base_FertiliserWINTER_WHEAT/ha_winterwheat_reference</f>
        <v>2447.3379854</v>
      </c>
      <c r="O17" s="149">
        <f>O16/E39</f>
        <v>1763.8237628000004</v>
      </c>
      <c r="R17"/>
      <c r="S17"/>
      <c r="T17"/>
      <c r="U17"/>
      <c r="V17"/>
    </row>
    <row r="18" spans="1:22" ht="20.25" thickBot="1">
      <c r="B18" s="48" t="s">
        <v>83</v>
      </c>
      <c r="C18" s="100" t="s">
        <v>29</v>
      </c>
      <c r="D18" s="100" t="str">
        <f>'Reference Data'!F26</f>
        <v>ha</v>
      </c>
      <c r="E18" s="111">
        <v>6.7</v>
      </c>
      <c r="F18" s="45"/>
      <c r="G18" s="45"/>
      <c r="J18" s="23" t="s">
        <v>299</v>
      </c>
      <c r="K18" s="23" t="s">
        <v>339</v>
      </c>
      <c r="L18" s="23" t="s">
        <v>120</v>
      </c>
      <c r="M18" s="34">
        <f>referenceSum_of_all_fertiliser_emissions_CORN/E31</f>
        <v>0.50591136389008962</v>
      </c>
      <c r="N18" s="34">
        <f>ReferenceTotal_Emissions_Base_FertiliserWINTER_WHEAT/E35</f>
        <v>0.41544170197235408</v>
      </c>
      <c r="O18" s="149">
        <f>O16/E40</f>
        <v>0.4603252775668179</v>
      </c>
      <c r="R18"/>
      <c r="S18"/>
      <c r="T18"/>
      <c r="U18"/>
      <c r="V18"/>
    </row>
    <row r="19" spans="1:22">
      <c r="B19" s="50" t="s">
        <v>74</v>
      </c>
      <c r="C19" s="98" t="s">
        <v>91</v>
      </c>
      <c r="D19" s="98" t="s">
        <v>79</v>
      </c>
      <c r="E19" s="99">
        <v>3831.69</v>
      </c>
      <c r="R19"/>
      <c r="S19"/>
      <c r="T19"/>
      <c r="U19"/>
      <c r="V19"/>
    </row>
    <row r="20" spans="1:22">
      <c r="B20" s="49" t="s">
        <v>76</v>
      </c>
      <c r="C20" s="23" t="s">
        <v>91</v>
      </c>
      <c r="D20" s="23" t="s">
        <v>79</v>
      </c>
      <c r="E20" s="64">
        <v>80.180000000000007</v>
      </c>
      <c r="J20" s="1" t="s">
        <v>92</v>
      </c>
      <c r="M20" s="102" t="s">
        <v>58</v>
      </c>
      <c r="N20" s="102" t="s">
        <v>29</v>
      </c>
      <c r="O20" s="102" t="s">
        <v>30</v>
      </c>
      <c r="R20"/>
      <c r="S20"/>
      <c r="T20"/>
      <c r="U20"/>
      <c r="V20"/>
    </row>
    <row r="21" spans="1:22">
      <c r="A21" s="43"/>
      <c r="B21" s="55" t="s">
        <v>78</v>
      </c>
      <c r="C21" s="23" t="s">
        <v>91</v>
      </c>
      <c r="D21" s="23" t="s">
        <v>79</v>
      </c>
      <c r="E21" s="64">
        <v>69</v>
      </c>
      <c r="J21" s="22" t="s">
        <v>60</v>
      </c>
      <c r="K21" s="22" t="s">
        <v>61</v>
      </c>
      <c r="L21" s="22" t="s">
        <v>55</v>
      </c>
      <c r="M21" s="104" t="s">
        <v>56</v>
      </c>
      <c r="N21" s="104"/>
      <c r="O21" s="104"/>
      <c r="R21"/>
      <c r="S21"/>
      <c r="T21"/>
      <c r="U21"/>
      <c r="V21"/>
    </row>
    <row r="22" spans="1:22" ht="20.25" thickBot="1">
      <c r="A22" s="43"/>
      <c r="B22" s="48" t="s">
        <v>83</v>
      </c>
      <c r="C22" s="100" t="s">
        <v>91</v>
      </c>
      <c r="D22" s="100" t="str">
        <f>'Reference Data'!F36</f>
        <v>ha</v>
      </c>
      <c r="E22" s="110">
        <v>2.7</v>
      </c>
      <c r="J22" s="8" t="s">
        <v>64</v>
      </c>
      <c r="K22" s="23" t="s">
        <v>65</v>
      </c>
      <c r="L22" s="52" t="s">
        <v>48</v>
      </c>
      <c r="M22" s="64">
        <f>$F$27*$E$55*$E$65*$E$63</f>
        <v>381.71019183673639</v>
      </c>
      <c r="N22" s="63">
        <f>$F$33*$E$55*$E$65*$E$63</f>
        <v>3159.9828069759378</v>
      </c>
      <c r="O22" s="63">
        <f>$F$37*$E$63*$E$65*$E$55</f>
        <v>1017.7541810526317</v>
      </c>
      <c r="R22"/>
      <c r="S22"/>
      <c r="T22"/>
      <c r="U22"/>
      <c r="V22"/>
    </row>
    <row r="23" spans="1:22">
      <c r="A23" s="43"/>
      <c r="J23" s="8" t="s">
        <v>66</v>
      </c>
      <c r="K23" s="23" t="s">
        <v>67</v>
      </c>
      <c r="L23" s="52" t="s">
        <v>48</v>
      </c>
      <c r="M23" s="64">
        <f>(($F$27*$B$70)+($C$70*$F$27))*$E$65*$E$63</f>
        <v>180.93063093061301</v>
      </c>
      <c r="N23" s="64">
        <f>(($F$33*$B$70)+($C$70*$F$33))*$E$65*$E$63</f>
        <v>1497.8318505065945</v>
      </c>
      <c r="O23" s="64">
        <f>(($F$37*$B$70)+($C$70*$F$37))*$E$65*$E$63</f>
        <v>482.41548181894734</v>
      </c>
      <c r="R23"/>
      <c r="S23"/>
      <c r="T23"/>
      <c r="U23"/>
      <c r="V23"/>
    </row>
    <row r="24" spans="1:22">
      <c r="A24" s="43"/>
      <c r="H24"/>
      <c r="J24" s="23" t="s">
        <v>68</v>
      </c>
      <c r="K24" s="23" t="s">
        <v>69</v>
      </c>
      <c r="L24" s="52" t="s">
        <v>48</v>
      </c>
      <c r="M24" s="64">
        <f>solutionFertiliser_Base_use_direct_emissions_CORN+solutonFertiliser_Base_use_indirect_emissionsCORN</f>
        <v>562.64082276734939</v>
      </c>
      <c r="N24" s="147">
        <f>solutionFertiliser_Base_use_direct_emissionsWINTER_WHEAT+solutionFertiliser_Base_use_indirect_emissionsWINTER_WHEAT</f>
        <v>4657.8146574825323</v>
      </c>
      <c r="O24" s="63">
        <f>SUM(O22:O23)</f>
        <v>1500.169662871579</v>
      </c>
      <c r="R24"/>
      <c r="S24"/>
      <c r="T24"/>
      <c r="U24"/>
      <c r="V24"/>
    </row>
    <row r="25" spans="1:22" ht="20.25" thickBot="1">
      <c r="B25" s="22" t="s">
        <v>93</v>
      </c>
      <c r="C25" s="22" t="s">
        <v>72</v>
      </c>
      <c r="D25" s="22" t="s">
        <v>55</v>
      </c>
      <c r="E25" s="22" t="s">
        <v>94</v>
      </c>
      <c r="F25" s="22" t="s">
        <v>95</v>
      </c>
      <c r="G25" s="22" t="s">
        <v>96</v>
      </c>
      <c r="H25"/>
      <c r="J25" s="8" t="s">
        <v>71</v>
      </c>
      <c r="K25" s="23" t="s">
        <v>65</v>
      </c>
      <c r="L25" s="52" t="s">
        <v>48</v>
      </c>
      <c r="M25" s="64">
        <f>$F$28*$E$55*$E$65*$E$63</f>
        <v>427.24968000000018</v>
      </c>
      <c r="N25" s="109"/>
      <c r="O25" s="63">
        <f>$F$38*$E$63*$E$65*$E$55</f>
        <v>470.40538206315341</v>
      </c>
      <c r="R25"/>
      <c r="S25"/>
      <c r="T25"/>
      <c r="U25"/>
      <c r="V25"/>
    </row>
    <row r="26" spans="1:22">
      <c r="B26" s="174" t="s">
        <v>74</v>
      </c>
      <c r="C26" s="175" t="s">
        <v>28</v>
      </c>
      <c r="D26" s="175" t="str">
        <f>D11</f>
        <v>kg/ha</v>
      </c>
      <c r="E26" s="176">
        <f>corn_yield_reference</f>
        <v>5866.0245090773196</v>
      </c>
      <c r="F26" s="176">
        <f>IF(Calculator!D25&gt;0,Calculator!D25,corn_yield_solution)</f>
        <v>7204.0003995918132</v>
      </c>
      <c r="G26" s="177">
        <f t="shared" ref="G26:G40" si="0">F26-E26</f>
        <v>1337.9758905144936</v>
      </c>
      <c r="H26"/>
      <c r="J26" s="8" t="s">
        <v>98</v>
      </c>
      <c r="K26" s="23" t="s">
        <v>67</v>
      </c>
      <c r="L26" s="52" t="s">
        <v>48</v>
      </c>
      <c r="M26" s="64">
        <f>((F28*$B$70)+($C$70*F28))*$E$65*$E$63</f>
        <v>202.51634832000008</v>
      </c>
      <c r="N26" s="109"/>
      <c r="O26" s="64">
        <f>((F38*$B$70)+($C$70*F38))*$E$65*$E$63</f>
        <v>222.97215109793467</v>
      </c>
      <c r="R26"/>
      <c r="S26"/>
      <c r="T26"/>
      <c r="U26"/>
      <c r="V26"/>
    </row>
    <row r="27" spans="1:22">
      <c r="B27" s="178" t="s">
        <v>76</v>
      </c>
      <c r="C27" s="23" t="s">
        <v>28</v>
      </c>
      <c r="D27" s="23" t="s">
        <v>97</v>
      </c>
      <c r="E27" s="149">
        <f>'Reference Data'!E8*$E$30</f>
        <v>112.5</v>
      </c>
      <c r="F27" s="149">
        <f>'Reference Data'!E16*$F$30</f>
        <v>88.976734693877944</v>
      </c>
      <c r="G27" s="179">
        <f t="shared" si="0"/>
        <v>-23.523265306122056</v>
      </c>
      <c r="H27"/>
      <c r="J27" s="23" t="s">
        <v>75</v>
      </c>
      <c r="K27" s="23" t="s">
        <v>69</v>
      </c>
      <c r="L27" s="52" t="s">
        <v>48</v>
      </c>
      <c r="M27" s="64">
        <f>SUM(solutionAdditional_fertiliser_use_direct_emissionsCORN,solutionAdditional_fertilise_use_indirect_emissionsCORN)</f>
        <v>629.76602832000026</v>
      </c>
      <c r="N27" s="109"/>
      <c r="O27" s="63">
        <f>SUM(O25:O26)</f>
        <v>693.37753316108808</v>
      </c>
      <c r="R27"/>
      <c r="S27"/>
      <c r="T27"/>
      <c r="U27"/>
      <c r="V27"/>
    </row>
    <row r="28" spans="1:22">
      <c r="B28" s="180" t="s">
        <v>78</v>
      </c>
      <c r="C28" s="23" t="s">
        <v>28</v>
      </c>
      <c r="D28" s="23" t="s">
        <v>97</v>
      </c>
      <c r="E28" s="149">
        <f>'Reference Data'!E9*$E$30</f>
        <v>126</v>
      </c>
      <c r="F28" s="149">
        <f>'Reference Data'!E17*$F$30</f>
        <v>99.592000000000041</v>
      </c>
      <c r="G28" s="179">
        <f t="shared" si="0"/>
        <v>-26.407999999999959</v>
      </c>
      <c r="H28"/>
      <c r="J28" s="8" t="s">
        <v>77</v>
      </c>
      <c r="K28" s="23" t="s">
        <v>65</v>
      </c>
      <c r="L28" s="52" t="s">
        <v>48</v>
      </c>
      <c r="M28" s="64">
        <f>$F$29*$E$55*$E$65*$E$63</f>
        <v>479.24354612244781</v>
      </c>
      <c r="N28" s="109"/>
      <c r="O28" s="109"/>
      <c r="R28"/>
      <c r="S28"/>
      <c r="T28"/>
      <c r="U28"/>
      <c r="V28"/>
    </row>
    <row r="29" spans="1:22">
      <c r="B29" s="180" t="s">
        <v>81</v>
      </c>
      <c r="C29" s="153" t="s">
        <v>28</v>
      </c>
      <c r="D29" s="153" t="s">
        <v>97</v>
      </c>
      <c r="E29" s="168">
        <f>'Reference Data'!E10*$E$30</f>
        <v>138</v>
      </c>
      <c r="F29" s="168">
        <f>'Reference Data'!E18*$F$30</f>
        <v>111.71178231292491</v>
      </c>
      <c r="G29" s="181">
        <f t="shared" si="0"/>
        <v>-26.28821768707509</v>
      </c>
      <c r="H29"/>
      <c r="J29" s="8" t="s">
        <v>99</v>
      </c>
      <c r="K29" s="23" t="s">
        <v>67</v>
      </c>
      <c r="L29" s="52" t="s">
        <v>48</v>
      </c>
      <c r="M29" s="64">
        <f>((F29*$B$70)+($C$70*F29))*$E$65*$E$63</f>
        <v>227.16144086204025</v>
      </c>
      <c r="N29" s="109"/>
      <c r="O29" s="109"/>
      <c r="R29"/>
      <c r="S29"/>
      <c r="T29"/>
      <c r="U29"/>
      <c r="V29"/>
    </row>
    <row r="30" spans="1:22">
      <c r="B30" s="178" t="s">
        <v>83</v>
      </c>
      <c r="C30" s="23" t="s">
        <v>28</v>
      </c>
      <c r="D30" s="23" t="str">
        <f>D15</f>
        <v>ha</v>
      </c>
      <c r="E30" s="168">
        <f>corn_ha_reference</f>
        <v>1.5</v>
      </c>
      <c r="F30" s="149">
        <f>IF(Calculator!F25&gt;0,Calculator!F25,'Reference Data'!E22)</f>
        <v>1.2</v>
      </c>
      <c r="G30" s="179">
        <f t="shared" si="0"/>
        <v>-0.30000000000000004</v>
      </c>
      <c r="H30"/>
      <c r="J30" s="23" t="s">
        <v>82</v>
      </c>
      <c r="K30" s="23" t="s">
        <v>69</v>
      </c>
      <c r="L30" s="52" t="s">
        <v>48</v>
      </c>
      <c r="M30" s="64">
        <f>SUM(solutionSecond_additional_fertiliser_use_direct_emissionsCORN,solutionSecond_additional_fertilise_use_indirect_emissionsCORN)</f>
        <v>706.404986984488</v>
      </c>
      <c r="N30" s="109"/>
      <c r="O30" s="109"/>
      <c r="R30"/>
      <c r="S30"/>
      <c r="T30"/>
      <c r="U30"/>
      <c r="V30"/>
    </row>
    <row r="31" spans="1:22" ht="20.25" thickBot="1">
      <c r="B31" s="182" t="s">
        <v>300</v>
      </c>
      <c r="C31" s="100" t="s">
        <v>28</v>
      </c>
      <c r="D31" s="107" t="s">
        <v>97</v>
      </c>
      <c r="E31" s="169">
        <f>E26*E30</f>
        <v>8799.036763615979</v>
      </c>
      <c r="F31" s="169">
        <f>F26*F30</f>
        <v>8644.8004795101751</v>
      </c>
      <c r="G31" s="183">
        <f t="shared" si="0"/>
        <v>-154.23628410580386</v>
      </c>
      <c r="H31"/>
      <c r="J31" s="161" t="s">
        <v>84</v>
      </c>
      <c r="K31" s="161" t="s">
        <v>85</v>
      </c>
      <c r="L31" s="162" t="s">
        <v>48</v>
      </c>
      <c r="M31" s="163">
        <f>SUM(F27:F29)*E64</f>
        <v>1651.5428435374158</v>
      </c>
      <c r="N31" s="163">
        <f>F33*E64</f>
        <v>4051.26000894351</v>
      </c>
      <c r="O31" s="163">
        <f>SUM(F37:F38)*E64</f>
        <v>1907.8968757894681</v>
      </c>
      <c r="R31"/>
      <c r="S31"/>
      <c r="T31"/>
      <c r="U31"/>
      <c r="V31"/>
    </row>
    <row r="32" spans="1:22">
      <c r="B32" s="174" t="s">
        <v>74</v>
      </c>
      <c r="C32" s="175" t="s">
        <v>29</v>
      </c>
      <c r="D32" s="175" t="s">
        <v>79</v>
      </c>
      <c r="E32" s="176">
        <f>E16</f>
        <v>5890.93</v>
      </c>
      <c r="F32" s="176">
        <f>IF(Calculator!D26&gt;0,Calculator!D26,'Reference Data'!E27)</f>
        <v>6499.0525433203211</v>
      </c>
      <c r="G32" s="177">
        <f t="shared" si="0"/>
        <v>608.1225433203208</v>
      </c>
      <c r="H32"/>
      <c r="J32" s="23" t="s">
        <v>86</v>
      </c>
      <c r="K32" s="23" t="s">
        <v>87</v>
      </c>
      <c r="L32" s="52" t="s">
        <v>48</v>
      </c>
      <c r="M32" s="64">
        <f>SUM(M24,M27,M30,M31)</f>
        <v>3550.3546816092535</v>
      </c>
      <c r="N32" s="64">
        <f>SUM(N24,N27,N30,N31)</f>
        <v>8709.0746664260423</v>
      </c>
      <c r="O32" s="64">
        <f>SUM(O24,O27,O30,O31)</f>
        <v>4101.4440718221358</v>
      </c>
      <c r="R32"/>
      <c r="S32"/>
      <c r="T32"/>
      <c r="U32"/>
      <c r="V32"/>
    </row>
    <row r="33" spans="2:22">
      <c r="B33" s="178" t="s">
        <v>76</v>
      </c>
      <c r="C33" s="23" t="s">
        <v>29</v>
      </c>
      <c r="D33" s="23" t="s">
        <v>97</v>
      </c>
      <c r="E33" s="149">
        <f>E17*E34</f>
        <v>1386.8330000000001</v>
      </c>
      <c r="F33" s="149">
        <f>'Reference Data'!E28*F34</f>
        <v>736.59272889882004</v>
      </c>
      <c r="G33" s="179">
        <f t="shared" si="0"/>
        <v>-650.24027110118004</v>
      </c>
      <c r="H33"/>
      <c r="J33" s="23" t="s">
        <v>88</v>
      </c>
      <c r="K33" s="23" t="s">
        <v>89</v>
      </c>
      <c r="L33" s="23" t="s">
        <v>90</v>
      </c>
      <c r="M33" s="149">
        <f>solutionSum_of_all_Fertiliser_EmissionsCORN/F26</f>
        <v>0.49283099454164669</v>
      </c>
      <c r="N33" s="167">
        <f>solutionTotal_Emissions_Base_FertiliserWINTER_WHEAT/ha_winterwheat_solution</f>
        <v>1893.2771013969659</v>
      </c>
      <c r="O33" s="167">
        <f>O32/F39</f>
        <v>1519.0533599341243</v>
      </c>
      <c r="R33"/>
      <c r="S33"/>
      <c r="T33"/>
      <c r="U33"/>
      <c r="V33"/>
    </row>
    <row r="34" spans="2:22">
      <c r="B34" s="178" t="s">
        <v>83</v>
      </c>
      <c r="C34" s="23" t="s">
        <v>29</v>
      </c>
      <c r="D34" s="23" t="str">
        <f>'Reference Data'!F22</f>
        <v>ha</v>
      </c>
      <c r="E34" s="149">
        <f>E18</f>
        <v>6.7</v>
      </c>
      <c r="F34" s="149">
        <f>IF(Calculator!F26&gt;0,Calculator!F26,'Reference Data'!E30)</f>
        <v>4.5999999999999996</v>
      </c>
      <c r="G34" s="179">
        <f t="shared" si="0"/>
        <v>-2.1000000000000005</v>
      </c>
      <c r="H34"/>
      <c r="J34" s="23" t="s">
        <v>299</v>
      </c>
      <c r="K34" s="23" t="s">
        <v>339</v>
      </c>
      <c r="L34" s="23" t="s">
        <v>120</v>
      </c>
      <c r="M34" s="149">
        <f>solutionSum_of_all_Fertiliser_EmissionsCORN/F31</f>
        <v>0.41069249545137226</v>
      </c>
      <c r="N34" s="167">
        <f>solutionTotal_Emissions_Base_FertiliserWINTER_WHEAT/F35</f>
        <v>0.29131586316267938</v>
      </c>
      <c r="O34" s="167">
        <f>solutionSum_of_all_Fertiliser_EmissionsSPRING_WHEAT/F40</f>
        <v>0.38941023853608414</v>
      </c>
      <c r="R34"/>
      <c r="S34"/>
      <c r="T34"/>
      <c r="U34"/>
      <c r="V34"/>
    </row>
    <row r="35" spans="2:22" ht="20.25" thickBot="1">
      <c r="B35" s="182" t="s">
        <v>300</v>
      </c>
      <c r="C35" s="23" t="s">
        <v>29</v>
      </c>
      <c r="D35" s="100" t="s">
        <v>97</v>
      </c>
      <c r="E35" s="169">
        <f>E32*E34</f>
        <v>39469.231</v>
      </c>
      <c r="F35" s="169">
        <f>F32*F34</f>
        <v>29895.641699273474</v>
      </c>
      <c r="G35" s="183">
        <f t="shared" si="0"/>
        <v>-9573.5893007265258</v>
      </c>
      <c r="H35"/>
      <c r="M35" s="66"/>
      <c r="R35"/>
      <c r="S35"/>
      <c r="T35"/>
      <c r="U35"/>
      <c r="V35"/>
    </row>
    <row r="36" spans="2:22">
      <c r="B36" s="174" t="s">
        <v>74</v>
      </c>
      <c r="C36" s="175" t="s">
        <v>41</v>
      </c>
      <c r="D36" s="175" t="s">
        <v>79</v>
      </c>
      <c r="E36" s="176">
        <f>E19</f>
        <v>3831.69</v>
      </c>
      <c r="F36" s="176">
        <f>IF(Calculator!D27&gt;0,Calculator!D27,'Reference Data'!E37)</f>
        <v>3900.9076023391808</v>
      </c>
      <c r="G36" s="177">
        <f t="shared" si="0"/>
        <v>69.217602339180758</v>
      </c>
      <c r="H36"/>
      <c r="J36" s="1" t="s">
        <v>100</v>
      </c>
      <c r="M36" s="102" t="s">
        <v>58</v>
      </c>
      <c r="N36" s="102" t="s">
        <v>29</v>
      </c>
      <c r="O36" s="102" t="s">
        <v>30</v>
      </c>
      <c r="P36" s="91"/>
      <c r="Q36" s="91"/>
      <c r="R36"/>
      <c r="S36"/>
      <c r="T36"/>
      <c r="U36"/>
      <c r="V36"/>
    </row>
    <row r="37" spans="2:22">
      <c r="B37" s="178" t="s">
        <v>76</v>
      </c>
      <c r="C37" s="23" t="s">
        <v>41</v>
      </c>
      <c r="D37" s="23" t="s">
        <v>97</v>
      </c>
      <c r="E37" s="149">
        <f>E20*E39</f>
        <v>216.48600000000005</v>
      </c>
      <c r="F37" s="149">
        <f>'Reference Data'!E38*F39</f>
        <v>237.23873684210528</v>
      </c>
      <c r="G37" s="179">
        <f t="shared" si="0"/>
        <v>20.752736842105236</v>
      </c>
      <c r="H37"/>
      <c r="J37" s="22" t="s">
        <v>60</v>
      </c>
      <c r="K37" s="22" t="s">
        <v>61</v>
      </c>
      <c r="L37" s="22" t="s">
        <v>55</v>
      </c>
      <c r="M37" s="104" t="s">
        <v>56</v>
      </c>
      <c r="N37" s="104"/>
      <c r="O37" s="104"/>
      <c r="R37"/>
      <c r="S37"/>
      <c r="T37"/>
      <c r="U37"/>
      <c r="V37"/>
    </row>
    <row r="38" spans="2:22">
      <c r="B38" s="180" t="s">
        <v>78</v>
      </c>
      <c r="C38" s="23" t="s">
        <v>41</v>
      </c>
      <c r="D38" s="23" t="s">
        <v>97</v>
      </c>
      <c r="E38" s="149">
        <f>E21*E39</f>
        <v>186.3</v>
      </c>
      <c r="F38" s="149">
        <f>'Reference Data'!E39*F39</f>
        <v>109.65160421052526</v>
      </c>
      <c r="G38" s="179">
        <f t="shared" si="0"/>
        <v>-76.648395789474748</v>
      </c>
      <c r="H38"/>
      <c r="J38" s="8" t="s">
        <v>104</v>
      </c>
      <c r="K38" s="8" t="s">
        <v>105</v>
      </c>
      <c r="L38" s="52" t="s">
        <v>48</v>
      </c>
      <c r="M38" s="63">
        <f>($D$46/1000)*$D$44*$E$54</f>
        <v>0.44928000000000001</v>
      </c>
      <c r="N38" s="63">
        <f>($D$46/1000)*$D$44*$E$54</f>
        <v>0.44928000000000001</v>
      </c>
      <c r="O38" s="63">
        <f>($D$46/1000)*$D$44*$E$54</f>
        <v>0.44928000000000001</v>
      </c>
      <c r="R38"/>
      <c r="S38"/>
      <c r="T38"/>
      <c r="U38"/>
      <c r="V38"/>
    </row>
    <row r="39" spans="2:22">
      <c r="B39" s="178" t="s">
        <v>83</v>
      </c>
      <c r="C39" s="23" t="s">
        <v>41</v>
      </c>
      <c r="D39" s="23" t="str">
        <f>'Reference Data'!F36</f>
        <v>ha</v>
      </c>
      <c r="E39" s="149">
        <f>E22</f>
        <v>2.7</v>
      </c>
      <c r="F39" s="149">
        <f>IF(Calculator!F27&gt;0,Calculator!F27,'Reference Data'!E42)</f>
        <v>2.7</v>
      </c>
      <c r="G39" s="179">
        <f t="shared" si="0"/>
        <v>0</v>
      </c>
      <c r="H39"/>
      <c r="J39" s="8" t="s">
        <v>107</v>
      </c>
      <c r="K39" s="8" t="s">
        <v>108</v>
      </c>
      <c r="L39" s="52" t="s">
        <v>48</v>
      </c>
      <c r="M39" s="63">
        <f>$D$50</f>
        <v>10.850947818000002</v>
      </c>
      <c r="N39" s="63">
        <f t="shared" ref="N39:O39" si="1">$D$50</f>
        <v>10.850947818000002</v>
      </c>
      <c r="O39" s="63">
        <f t="shared" si="1"/>
        <v>10.850947818000002</v>
      </c>
      <c r="R39"/>
      <c r="S39"/>
      <c r="T39"/>
      <c r="U39"/>
      <c r="V39"/>
    </row>
    <row r="40" spans="2:22" ht="20.25" thickBot="1">
      <c r="B40" s="182" t="s">
        <v>300</v>
      </c>
      <c r="C40" s="100" t="s">
        <v>41</v>
      </c>
      <c r="D40" s="100" t="s">
        <v>97</v>
      </c>
      <c r="E40" s="169">
        <f>E36*E39</f>
        <v>10345.563</v>
      </c>
      <c r="F40" s="169">
        <f>F36*F39</f>
        <v>10532.450526315788</v>
      </c>
      <c r="G40" s="183">
        <f t="shared" si="0"/>
        <v>186.88752631578791</v>
      </c>
      <c r="H40"/>
      <c r="J40" s="8" t="s">
        <v>111</v>
      </c>
      <c r="K40" s="8" t="s">
        <v>112</v>
      </c>
      <c r="L40" s="52" t="s">
        <v>48</v>
      </c>
      <c r="M40" s="151">
        <f>(($E$45*($E$46/60)*F30*D6)/1000)*$E$54</f>
        <v>3.7439999999999995E-3</v>
      </c>
      <c r="N40" s="151">
        <f>(($E$45*($E$46/60)*F34*E6)/1000)*$E$54</f>
        <v>3.5880000000000002E-2</v>
      </c>
      <c r="O40" s="151">
        <f>(($E$45*($E$46/60)*F39*F6)/1000)*$E$54</f>
        <v>1.2636000000000003E-2</v>
      </c>
      <c r="R40"/>
      <c r="S40"/>
      <c r="T40"/>
      <c r="U40"/>
      <c r="V40"/>
    </row>
    <row r="41" spans="2:22">
      <c r="H41"/>
      <c r="J41" s="8" t="s">
        <v>115</v>
      </c>
      <c r="K41" s="8" t="s">
        <v>116</v>
      </c>
      <c r="L41" s="52" t="s">
        <v>48</v>
      </c>
      <c r="M41" s="63">
        <f>$D$51</f>
        <v>2.0503185E-2</v>
      </c>
      <c r="N41" s="63">
        <f t="shared" ref="N41:O41" si="2">$D$51</f>
        <v>2.0503185E-2</v>
      </c>
      <c r="O41" s="63">
        <f t="shared" si="2"/>
        <v>2.0503185E-2</v>
      </c>
      <c r="R41"/>
      <c r="S41"/>
      <c r="T41"/>
      <c r="U41"/>
      <c r="V41"/>
    </row>
    <row r="42" spans="2:22">
      <c r="G42"/>
      <c r="H42" s="91"/>
      <c r="J42" s="23" t="s">
        <v>117</v>
      </c>
      <c r="K42" s="23" t="s">
        <v>118</v>
      </c>
      <c r="L42" s="52" t="s">
        <v>48</v>
      </c>
      <c r="M42" s="64">
        <f>SUM(M38:M41)</f>
        <v>11.324475003000002</v>
      </c>
      <c r="N42" s="64">
        <f>SUM(N38:N41)</f>
        <v>11.356611003000003</v>
      </c>
      <c r="O42" s="64">
        <f>SUM(O38:O41)</f>
        <v>11.333367003000003</v>
      </c>
      <c r="R42"/>
      <c r="S42"/>
      <c r="T42"/>
      <c r="U42"/>
      <c r="V42"/>
    </row>
    <row r="43" spans="2:22">
      <c r="B43" s="22" t="s">
        <v>101</v>
      </c>
      <c r="C43" s="22" t="s">
        <v>55</v>
      </c>
      <c r="D43" s="22" t="s">
        <v>102</v>
      </c>
      <c r="E43" s="108" t="s">
        <v>103</v>
      </c>
      <c r="F43" s="44"/>
      <c r="G43"/>
      <c r="J43" s="23" t="s">
        <v>304</v>
      </c>
      <c r="K43" s="23" t="s">
        <v>306</v>
      </c>
      <c r="L43" s="52" t="s">
        <v>90</v>
      </c>
      <c r="M43" s="64">
        <f>_1st_order_effect___Totalcorn/F26</f>
        <v>1.5719703463150361E-3</v>
      </c>
      <c r="N43" s="64">
        <f>_1st_order_effect___Totalwinter_wheat/ha_winterwheat_solution</f>
        <v>2.4688284789130441</v>
      </c>
      <c r="O43" s="64">
        <f>_1st_order_effect___Totalspring_wheat/F39</f>
        <v>4.1975433344444451</v>
      </c>
      <c r="R43"/>
      <c r="S43"/>
      <c r="T43"/>
      <c r="U43"/>
      <c r="V43"/>
    </row>
    <row r="44" spans="2:22">
      <c r="B44" s="23" t="s">
        <v>106</v>
      </c>
      <c r="C44" s="23" t="s">
        <v>280</v>
      </c>
      <c r="D44" s="23">
        <f>'First Order Effects'!J4</f>
        <v>3.6</v>
      </c>
      <c r="E44" s="109"/>
      <c r="F44" s="44"/>
      <c r="G44"/>
      <c r="J44" s="23" t="s">
        <v>305</v>
      </c>
      <c r="K44" s="23" t="s">
        <v>307</v>
      </c>
      <c r="L44" s="52" t="s">
        <v>120</v>
      </c>
      <c r="M44" s="185">
        <f>_1st_order_effect___Totalcorn/F31</f>
        <v>1.3099752885958637E-3</v>
      </c>
      <c r="N44" s="186">
        <f>_1st_order_effect___Totalwinter_wheat/F35</f>
        <v>3.7987513756147247E-4</v>
      </c>
      <c r="O44" s="185">
        <f>_1st_order_effect___Totalspring_wheat/F40</f>
        <v>1.0760427475717156E-3</v>
      </c>
      <c r="R44"/>
      <c r="S44"/>
      <c r="T44"/>
      <c r="U44"/>
      <c r="V44"/>
    </row>
    <row r="45" spans="2:22">
      <c r="B45" s="23" t="s">
        <v>106</v>
      </c>
      <c r="C45" s="23" t="s">
        <v>319</v>
      </c>
      <c r="D45" s="109"/>
      <c r="E45" s="23">
        <f>'First Order Effects'!J7</f>
        <v>6</v>
      </c>
      <c r="F45" s="44"/>
      <c r="G45"/>
      <c r="R45"/>
      <c r="S45"/>
      <c r="T45"/>
      <c r="U45"/>
      <c r="V45"/>
    </row>
    <row r="46" spans="2:22">
      <c r="B46" s="23" t="s">
        <v>109</v>
      </c>
      <c r="C46" s="23" t="s">
        <v>110</v>
      </c>
      <c r="D46" s="23">
        <f>'First Order Effects'!I4</f>
        <v>240</v>
      </c>
      <c r="E46" s="23">
        <f>'First Order Effects'!I7</f>
        <v>15</v>
      </c>
      <c r="F46" s="46"/>
      <c r="G46"/>
      <c r="J46" s="54" t="s">
        <v>301</v>
      </c>
      <c r="R46"/>
      <c r="S46"/>
      <c r="T46"/>
      <c r="U46"/>
      <c r="V46"/>
    </row>
    <row r="47" spans="2:22">
      <c r="B47" s="23" t="s">
        <v>113</v>
      </c>
      <c r="C47" s="23" t="s">
        <v>114</v>
      </c>
      <c r="D47" s="88">
        <f>'First Order Effects'!C12</f>
        <v>0.8</v>
      </c>
      <c r="E47" s="88">
        <f>'First Order Effects'!C13</f>
        <v>0.8</v>
      </c>
      <c r="F47" s="44"/>
      <c r="G47"/>
      <c r="J47" s="53" t="s">
        <v>60</v>
      </c>
      <c r="K47" s="53" t="s">
        <v>61</v>
      </c>
      <c r="L47" s="53" t="s">
        <v>55</v>
      </c>
      <c r="M47" s="102" t="s">
        <v>58</v>
      </c>
      <c r="N47" s="102" t="s">
        <v>29</v>
      </c>
      <c r="O47" s="102" t="s">
        <v>30</v>
      </c>
      <c r="R47"/>
      <c r="S47"/>
      <c r="T47"/>
      <c r="U47"/>
      <c r="V47"/>
    </row>
    <row r="48" spans="2:22" ht="39">
      <c r="J48" s="60" t="s">
        <v>302</v>
      </c>
      <c r="K48" s="61" t="s">
        <v>124</v>
      </c>
      <c r="L48" s="62" t="s">
        <v>303</v>
      </c>
      <c r="M48" s="170">
        <f>M34-M18</f>
        <v>-9.5218868438717352E-2</v>
      </c>
      <c r="N48" s="79">
        <f>N34-N18</f>
        <v>-0.1241258388096747</v>
      </c>
      <c r="O48" s="79">
        <f>O34-O18</f>
        <v>-7.0915039030733762E-2</v>
      </c>
      <c r="R48"/>
      <c r="S48"/>
      <c r="T48"/>
      <c r="U48"/>
      <c r="V48"/>
    </row>
    <row r="49" spans="2:22">
      <c r="B49" s="102" t="s">
        <v>103</v>
      </c>
      <c r="C49" s="102" t="s">
        <v>55</v>
      </c>
      <c r="D49" s="102" t="s">
        <v>56</v>
      </c>
      <c r="J49" s="60" t="s">
        <v>309</v>
      </c>
      <c r="K49" s="61" t="s">
        <v>308</v>
      </c>
      <c r="L49" s="62" t="s">
        <v>303</v>
      </c>
      <c r="M49" s="79">
        <f>M48+M44</f>
        <v>-9.3908893150121492E-2</v>
      </c>
      <c r="N49" s="79">
        <f>N48+N44</f>
        <v>-0.12374596367211323</v>
      </c>
      <c r="O49" s="79">
        <f>O48+O44</f>
        <v>-6.983899628316205E-2</v>
      </c>
      <c r="R49"/>
      <c r="S49"/>
      <c r="T49"/>
      <c r="U49"/>
      <c r="V49"/>
    </row>
    <row r="50" spans="2:22">
      <c r="B50" s="8" t="s">
        <v>119</v>
      </c>
      <c r="C50" s="62" t="s">
        <v>120</v>
      </c>
      <c r="D50" s="64">
        <f>electric_massflow_controller_embedded_emissions</f>
        <v>10.850947818000002</v>
      </c>
      <c r="J50" s="60" t="s">
        <v>297</v>
      </c>
      <c r="K50" s="61" t="s">
        <v>298</v>
      </c>
      <c r="L50" s="62" t="s">
        <v>48</v>
      </c>
      <c r="M50" s="79">
        <f>M49*F31</f>
        <v>-811.82364453444006</v>
      </c>
      <c r="N50" s="79">
        <f>N49*F35</f>
        <v>-3699.4649916728085</v>
      </c>
      <c r="O50" s="79">
        <f>O49*F40</f>
        <v>-735.5757731599565</v>
      </c>
      <c r="R50"/>
      <c r="S50"/>
      <c r="T50"/>
      <c r="U50"/>
      <c r="V50"/>
    </row>
    <row r="51" spans="2:22">
      <c r="B51" s="8" t="s">
        <v>121</v>
      </c>
      <c r="C51" s="62" t="s">
        <v>120</v>
      </c>
      <c r="D51" s="152">
        <f>end_of_life_emissions</f>
        <v>2.0503185E-2</v>
      </c>
      <c r="J51"/>
      <c r="K51"/>
      <c r="L51"/>
      <c r="M51"/>
      <c r="N51"/>
      <c r="O51"/>
      <c r="R51"/>
      <c r="S51"/>
      <c r="T51"/>
      <c r="U51"/>
      <c r="V51"/>
    </row>
    <row r="52" spans="2:22">
      <c r="J52" s="54" t="s">
        <v>340</v>
      </c>
      <c r="R52"/>
      <c r="S52"/>
      <c r="T52"/>
      <c r="U52"/>
      <c r="V52"/>
    </row>
    <row r="53" spans="2:22">
      <c r="B53" s="22" t="s">
        <v>122</v>
      </c>
      <c r="C53" s="22" t="s">
        <v>123</v>
      </c>
      <c r="D53" s="22" t="s">
        <v>55</v>
      </c>
      <c r="E53" s="22" t="s">
        <v>56</v>
      </c>
      <c r="J53" s="53" t="s">
        <v>60</v>
      </c>
      <c r="K53" s="53" t="s">
        <v>61</v>
      </c>
      <c r="L53" s="53" t="s">
        <v>55</v>
      </c>
      <c r="M53" s="102" t="s">
        <v>58</v>
      </c>
      <c r="N53" s="102" t="s">
        <v>29</v>
      </c>
      <c r="O53" s="102" t="s">
        <v>30</v>
      </c>
      <c r="R53"/>
      <c r="S53"/>
      <c r="T53"/>
      <c r="U53"/>
      <c r="V53"/>
    </row>
    <row r="54" spans="2:22">
      <c r="B54" s="8" t="str">
        <f>'Emission Factors'!B5</f>
        <v xml:space="preserve">Japan </v>
      </c>
      <c r="C54" s="23" t="s">
        <v>125</v>
      </c>
      <c r="D54" s="8" t="s">
        <v>126</v>
      </c>
      <c r="E54" s="24">
        <f>'Emission Factors'!C5</f>
        <v>0.52</v>
      </c>
      <c r="J54" s="60" t="s">
        <v>297</v>
      </c>
      <c r="K54" s="61" t="s">
        <v>298</v>
      </c>
      <c r="L54" s="62" t="s">
        <v>48</v>
      </c>
      <c r="M54" s="79">
        <f>-referenceSum_of_all_fertiliser_emissions_CORN+solutionSum_of_all_Fertiliser_EmissionsCORN+_1st_order_effect___Totalcorn</f>
        <v>-889.85353338774655</v>
      </c>
      <c r="N54" s="79">
        <f>-ReferenceTotal_Emissions_Base_FertiliserWINTER_WHEAT+solutionTotal_Emissions_Base_FertiliserWINTER_WHEAT+_1st_order_effect___Totalwinter_wheat</f>
        <v>-7676.7332247509576</v>
      </c>
      <c r="O54" s="79">
        <f>-ReferenceSum_of_all_Fertiliser_EmissionsSPRING_WHEAT+solutionSum_of_all_Fertiliser_EmissionsSPRING_WHEAT+_1st_order_effect___Totalspring_wheat</f>
        <v>-649.54672073486529</v>
      </c>
      <c r="R54"/>
      <c r="S54"/>
      <c r="T54"/>
      <c r="U54"/>
      <c r="V54"/>
    </row>
    <row r="55" spans="2:22">
      <c r="B55" s="8" t="str">
        <f>'Emission Factors'!B10</f>
        <v>Nitrous Oxide</v>
      </c>
      <c r="C55" s="23" t="s">
        <v>127</v>
      </c>
      <c r="D55" s="8" t="s">
        <v>120</v>
      </c>
      <c r="E55" s="24">
        <f>'Emission Factors'!D10</f>
        <v>0.01</v>
      </c>
      <c r="O55" s="227" t="s">
        <v>341</v>
      </c>
      <c r="R55"/>
      <c r="S55"/>
      <c r="T55"/>
      <c r="U55"/>
      <c r="V55"/>
    </row>
    <row r="56" spans="2:22">
      <c r="B56" s="8" t="str">
        <f>'Emission Factors'!B20</f>
        <v>Electrical items - IT</v>
      </c>
      <c r="C56" s="23" t="s">
        <v>128</v>
      </c>
      <c r="D56" s="8" t="s">
        <v>120</v>
      </c>
      <c r="E56" s="24">
        <f>'Emission Factors'!D20</f>
        <v>24.86547556</v>
      </c>
      <c r="R56"/>
      <c r="S56"/>
      <c r="T56"/>
      <c r="U56"/>
      <c r="V56"/>
    </row>
    <row r="57" spans="2:22">
      <c r="B57" s="8" t="str">
        <f>'Emission Factors'!B21</f>
        <v>Electrical items - small</v>
      </c>
      <c r="C57" s="23" t="s">
        <v>128</v>
      </c>
      <c r="D57" s="8" t="s">
        <v>120</v>
      </c>
      <c r="E57" s="24">
        <f>'Emission Factors'!D21</f>
        <v>5.6479456300000006</v>
      </c>
      <c r="R57"/>
      <c r="S57"/>
      <c r="T57"/>
      <c r="U57"/>
      <c r="V57"/>
    </row>
    <row r="58" spans="2:22">
      <c r="B58" s="8" t="str">
        <f>'Emission Factors'!B22</f>
        <v>Plastics: average plastics</v>
      </c>
      <c r="C58" s="23" t="s">
        <v>128</v>
      </c>
      <c r="D58" s="8" t="s">
        <v>120</v>
      </c>
      <c r="E58" s="24">
        <f>'Emission Factors'!D22</f>
        <v>3.17249932</v>
      </c>
      <c r="R58"/>
      <c r="S58"/>
      <c r="T58"/>
      <c r="U58"/>
      <c r="V58"/>
    </row>
    <row r="59" spans="2:22">
      <c r="B59" s="8" t="str">
        <f>'Emission Factors'!B23</f>
        <v>Metals</v>
      </c>
      <c r="C59" s="23" t="s">
        <v>128</v>
      </c>
      <c r="D59" s="8" t="s">
        <v>120</v>
      </c>
      <c r="E59" s="24">
        <f>'Emission Factors'!D28</f>
        <v>6.8343950000000001E-3</v>
      </c>
      <c r="R59"/>
      <c r="S59"/>
      <c r="T59"/>
      <c r="U59"/>
      <c r="V59"/>
    </row>
    <row r="60" spans="2:22">
      <c r="B60" s="8" t="str">
        <f>'Emission Factors'!B28</f>
        <v>Electrical Items</v>
      </c>
      <c r="C60" s="23" t="s">
        <v>128</v>
      </c>
      <c r="D60" s="8" t="s">
        <v>120</v>
      </c>
      <c r="E60" s="24">
        <f>'Emission Factors'!D29</f>
        <v>6.8343950000000001E-3</v>
      </c>
      <c r="R60"/>
      <c r="S60"/>
      <c r="T60"/>
      <c r="U60"/>
      <c r="V60"/>
    </row>
    <row r="61" spans="2:22">
      <c r="B61" s="8" t="str">
        <f>'Emission Factors'!B29</f>
        <v>Electrical Items</v>
      </c>
      <c r="C61" s="23" t="s">
        <v>128</v>
      </c>
      <c r="D61" s="8" t="s">
        <v>120</v>
      </c>
      <c r="E61" s="24">
        <f>'Emission Factors'!D30</f>
        <v>6.8343950000000001E-3</v>
      </c>
      <c r="R61"/>
      <c r="S61"/>
      <c r="T61"/>
      <c r="U61"/>
      <c r="V61"/>
    </row>
    <row r="62" spans="2:22">
      <c r="B62" s="8" t="str">
        <f>'Emission Factors'!B30</f>
        <v>Electrical Items</v>
      </c>
      <c r="C62" s="23" t="s">
        <v>128</v>
      </c>
      <c r="D62" s="8" t="s">
        <v>120</v>
      </c>
      <c r="E62" s="24">
        <f>'Emission Factors'!D31</f>
        <v>6.8343950000000001E-3</v>
      </c>
      <c r="R62"/>
      <c r="S62"/>
      <c r="T62"/>
      <c r="U62"/>
      <c r="V62"/>
    </row>
    <row r="63" spans="2:22">
      <c r="B63" s="8" t="s">
        <v>129</v>
      </c>
      <c r="C63" s="23" t="s">
        <v>127</v>
      </c>
      <c r="D63" s="8"/>
      <c r="E63" s="24">
        <f>'Reference Data'!D53</f>
        <v>273</v>
      </c>
      <c r="R63"/>
      <c r="S63"/>
      <c r="T63"/>
      <c r="U63"/>
      <c r="V63"/>
    </row>
    <row r="64" spans="2:22">
      <c r="B64" s="23" t="str">
        <f>'Emission Factors'!B15</f>
        <v>Fertiliser Embodied</v>
      </c>
      <c r="C64" s="23" t="s">
        <v>130</v>
      </c>
      <c r="D64" s="23" t="s">
        <v>131</v>
      </c>
      <c r="E64" s="23">
        <f>'Emission Factors'!D15</f>
        <v>5.5</v>
      </c>
      <c r="R64"/>
      <c r="S64"/>
      <c r="T64"/>
      <c r="U64"/>
      <c r="V64"/>
    </row>
    <row r="65" spans="2:22">
      <c r="B65" s="23" t="s">
        <v>294</v>
      </c>
      <c r="C65" s="23"/>
      <c r="D65" s="23" t="s">
        <v>295</v>
      </c>
      <c r="E65" s="24">
        <f>'Emission Factors'!C42</f>
        <v>1.5714285714285714</v>
      </c>
      <c r="R65"/>
      <c r="S65"/>
      <c r="T65"/>
      <c r="U65"/>
      <c r="V65"/>
    </row>
    <row r="66" spans="2:22">
      <c r="R66"/>
      <c r="S66"/>
      <c r="T66"/>
      <c r="U66"/>
      <c r="V66"/>
    </row>
    <row r="67" spans="2:22" ht="55.5" customHeight="1">
      <c r="B67" s="1" t="s">
        <v>132</v>
      </c>
      <c r="R67"/>
      <c r="S67"/>
      <c r="T67"/>
      <c r="U67"/>
      <c r="V67"/>
    </row>
    <row r="68" spans="2:22" ht="46.5" customHeight="1">
      <c r="B68" s="39" t="s">
        <v>133</v>
      </c>
      <c r="R68"/>
      <c r="S68"/>
      <c r="T68"/>
      <c r="U68"/>
      <c r="V68"/>
    </row>
    <row r="69" spans="2:22" ht="27.75" customHeight="1">
      <c r="B69" s="47" t="s">
        <v>134</v>
      </c>
      <c r="C69" s="47" t="s">
        <v>135</v>
      </c>
      <c r="R69"/>
      <c r="S69"/>
      <c r="T69"/>
      <c r="U69"/>
      <c r="V69"/>
    </row>
    <row r="70" spans="2:22" ht="27.75" customHeight="1">
      <c r="B70" s="23">
        <f>'Reference Data'!$B$45</f>
        <v>2.0999999999999999E-3</v>
      </c>
      <c r="C70" s="23">
        <f>'Reference Data'!$C$45</f>
        <v>2.6399999999999996E-3</v>
      </c>
      <c r="R70"/>
      <c r="S70"/>
      <c r="T70"/>
      <c r="U70"/>
      <c r="V70"/>
    </row>
    <row r="71" spans="2:22">
      <c r="R71"/>
      <c r="S71"/>
      <c r="T71"/>
      <c r="U71"/>
      <c r="V71"/>
    </row>
    <row r="72" spans="2:22">
      <c r="R72"/>
      <c r="S72"/>
      <c r="T72"/>
      <c r="U72"/>
      <c r="V72"/>
    </row>
    <row r="73" spans="2:22">
      <c r="R73"/>
      <c r="S73"/>
      <c r="T73"/>
      <c r="U73"/>
      <c r="V73"/>
    </row>
    <row r="74" spans="2:22">
      <c r="R74"/>
      <c r="S74"/>
      <c r="T74"/>
      <c r="U74"/>
      <c r="V74"/>
    </row>
    <row r="75" spans="2:22">
      <c r="R75"/>
      <c r="S75"/>
      <c r="T75"/>
      <c r="U75"/>
      <c r="V75"/>
    </row>
    <row r="76" spans="2:22" ht="27.75" customHeight="1">
      <c r="R76"/>
      <c r="S76"/>
      <c r="T76"/>
      <c r="U76"/>
      <c r="V76"/>
    </row>
    <row r="77" spans="2:22" ht="27.75" customHeight="1">
      <c r="E77"/>
      <c r="F77"/>
      <c r="R77"/>
      <c r="S77"/>
      <c r="T77"/>
      <c r="U77"/>
      <c r="V77"/>
    </row>
    <row r="78" spans="2:22">
      <c r="E78"/>
      <c r="F78"/>
      <c r="R78"/>
      <c r="S78"/>
      <c r="T78"/>
      <c r="U78"/>
      <c r="V78"/>
    </row>
    <row r="79" spans="2:22" ht="32.450000000000003" customHeight="1">
      <c r="B79"/>
      <c r="C79"/>
      <c r="D79"/>
      <c r="E79"/>
      <c r="F79"/>
      <c r="R79"/>
      <c r="S79"/>
      <c r="T79"/>
      <c r="U79"/>
      <c r="V79"/>
    </row>
    <row r="80" spans="2:22">
      <c r="B80"/>
      <c r="C80"/>
      <c r="D80"/>
      <c r="E80"/>
      <c r="F80"/>
    </row>
    <row r="81" spans="2:6">
      <c r="B81"/>
      <c r="C81"/>
      <c r="D81"/>
      <c r="E81"/>
      <c r="F81"/>
    </row>
    <row r="82" spans="2:6">
      <c r="B82"/>
      <c r="C82"/>
      <c r="D82"/>
      <c r="E82"/>
      <c r="F82"/>
    </row>
    <row r="83" spans="2:6">
      <c r="B83"/>
      <c r="C83"/>
      <c r="D83"/>
      <c r="E83"/>
      <c r="F83"/>
    </row>
    <row r="84" spans="2:6">
      <c r="B84"/>
      <c r="C84"/>
      <c r="D84"/>
      <c r="E84"/>
      <c r="F84"/>
    </row>
    <row r="85" spans="2:6">
      <c r="B85"/>
      <c r="C85"/>
      <c r="D85"/>
      <c r="E85"/>
      <c r="F85"/>
    </row>
    <row r="86" spans="2:6">
      <c r="B86"/>
      <c r="C86"/>
      <c r="D86"/>
      <c r="E86"/>
      <c r="F86"/>
    </row>
    <row r="87" spans="2:6">
      <c r="B87"/>
      <c r="C87"/>
      <c r="D87"/>
      <c r="E87"/>
      <c r="F87"/>
    </row>
    <row r="95" spans="2:6" ht="33" customHeight="1"/>
    <row r="96" spans="2:6" ht="21.6" customHeight="1"/>
    <row r="98" ht="33.6" customHeight="1"/>
    <row r="99" ht="39.6" customHeight="1"/>
    <row r="100" ht="36" customHeight="1"/>
  </sheetData>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E65-52D7-4E5F-B82F-BA278CC069F4}">
  <sheetPr codeName="Sheet4">
    <tabColor rgb="FFA6D9F7"/>
  </sheetPr>
  <dimension ref="B2:U65"/>
  <sheetViews>
    <sheetView showGridLines="0" zoomScale="80" zoomScaleNormal="80" workbookViewId="0"/>
  </sheetViews>
  <sheetFormatPr defaultColWidth="8.75" defaultRowHeight="19.5"/>
  <cols>
    <col min="1" max="1" width="3.75" style="2" customWidth="1"/>
    <col min="2" max="2" width="28" style="2" customWidth="1"/>
    <col min="3" max="3" width="28.25" style="2" customWidth="1"/>
    <col min="4" max="4" width="31.125" style="2" customWidth="1"/>
    <col min="5" max="5" width="21.75" style="2" customWidth="1"/>
    <col min="6" max="6" width="20.25" style="2" customWidth="1"/>
    <col min="7" max="7" width="15.75" style="2" customWidth="1"/>
    <col min="8" max="8" width="18.75" style="2" customWidth="1"/>
    <col min="9" max="9" width="16.875" style="2" customWidth="1"/>
    <col min="10" max="12" width="13.375" style="2" customWidth="1"/>
    <col min="13" max="15" width="13.375" style="3" customWidth="1"/>
    <col min="16" max="17" width="19.625" style="3" customWidth="1"/>
    <col min="18" max="18" width="19.625" style="2" customWidth="1"/>
    <col min="19" max="19" width="11.5" style="2" customWidth="1"/>
    <col min="20" max="20" width="8.75" style="2" customWidth="1"/>
    <col min="21" max="21" width="19.125" style="2" customWidth="1"/>
    <col min="22" max="22" width="10.75" style="2" customWidth="1"/>
    <col min="23" max="23" width="25.625" style="2" customWidth="1"/>
    <col min="24" max="16384" width="8.75" style="2"/>
  </cols>
  <sheetData>
    <row r="2" spans="2:19">
      <c r="B2" s="1" t="s">
        <v>136</v>
      </c>
    </row>
    <row r="3" spans="2:19">
      <c r="B3" s="2" t="s">
        <v>137</v>
      </c>
      <c r="R3" s="3"/>
      <c r="S3" s="3"/>
    </row>
    <row r="4" spans="2:19">
      <c r="R4" s="3"/>
      <c r="S4" s="3"/>
    </row>
    <row r="5" spans="2:19" ht="58.5">
      <c r="C5" s="191" t="s">
        <v>142</v>
      </c>
      <c r="D5" s="192" t="s">
        <v>143</v>
      </c>
      <c r="E5" s="192" t="s">
        <v>147</v>
      </c>
      <c r="F5" s="192" t="s">
        <v>148</v>
      </c>
      <c r="G5" s="193" t="s">
        <v>149</v>
      </c>
      <c r="R5" s="3"/>
      <c r="S5" s="3"/>
    </row>
    <row r="6" spans="2:19">
      <c r="B6" s="206" t="s">
        <v>28</v>
      </c>
      <c r="C6" s="203"/>
      <c r="D6" s="194"/>
      <c r="E6" s="194"/>
      <c r="F6" s="194"/>
      <c r="G6" s="195"/>
      <c r="R6" s="3"/>
      <c r="S6" s="3"/>
    </row>
    <row r="7" spans="2:19" ht="19.5" customHeight="1">
      <c r="B7" s="204"/>
      <c r="C7" s="197" t="s">
        <v>151</v>
      </c>
      <c r="D7" s="97" t="str">
        <f>D28</f>
        <v>Monitor</v>
      </c>
      <c r="E7" s="187">
        <f>P28*P31</f>
        <v>0.44928000000000001</v>
      </c>
      <c r="F7" s="187">
        <f t="shared" ref="F7:G9" si="0">Q28*Q31</f>
        <v>1.8449104870297413</v>
      </c>
      <c r="G7" s="187">
        <f t="shared" si="0"/>
        <v>0.10941046723897017</v>
      </c>
      <c r="R7" s="3"/>
      <c r="S7" s="3"/>
    </row>
    <row r="8" spans="2:19">
      <c r="B8" s="205"/>
      <c r="C8" s="197" t="s">
        <v>151</v>
      </c>
      <c r="D8" s="97" t="str">
        <f>D29</f>
        <v xml:space="preserve">Electric Mass Flow Controller </v>
      </c>
      <c r="E8" s="187">
        <f>P29*P32</f>
        <v>10.875195003000002</v>
      </c>
      <c r="F8" s="187">
        <f t="shared" si="0"/>
        <v>44.657588384811568</v>
      </c>
      <c r="G8" s="187">
        <f t="shared" si="0"/>
        <v>2.6483710972959935</v>
      </c>
      <c r="R8" s="3"/>
      <c r="S8" s="3"/>
    </row>
    <row r="9" spans="2:19">
      <c r="B9" s="205" t="s">
        <v>323</v>
      </c>
      <c r="C9" s="197" t="s">
        <v>156</v>
      </c>
      <c r="D9" s="97" t="str">
        <f>D30</f>
        <v>Fertiliser</v>
      </c>
      <c r="E9" s="187">
        <f>P30*P33</f>
        <v>-823.14811953744004</v>
      </c>
      <c r="F9" s="187">
        <f t="shared" si="0"/>
        <v>-1033.5298587510233</v>
      </c>
      <c r="G9" s="187">
        <f t="shared" si="0"/>
        <v>-655.59095459210209</v>
      </c>
      <c r="R9" s="3"/>
      <c r="S9" s="3"/>
    </row>
    <row r="10" spans="2:19">
      <c r="B10" s="205"/>
      <c r="C10" s="237" t="s">
        <v>168</v>
      </c>
      <c r="D10" s="238"/>
      <c r="E10" s="187">
        <f>(E9+SUM(E7:E8))</f>
        <v>-811.82364453444006</v>
      </c>
      <c r="F10" s="187">
        <f>(F9+SUM(F7:F8))</f>
        <v>-987.02735987918197</v>
      </c>
      <c r="G10" s="187">
        <f>(G9+SUM(G7:G8))</f>
        <v>-652.83317302756711</v>
      </c>
      <c r="R10" s="3"/>
      <c r="S10" s="3"/>
    </row>
    <row r="11" spans="2:19">
      <c r="B11" s="98"/>
      <c r="C11" s="239" t="s">
        <v>174</v>
      </c>
      <c r="D11" s="240"/>
      <c r="E11" s="187">
        <f>E10-E10</f>
        <v>0</v>
      </c>
      <c r="F11" s="187">
        <f>F10-E10</f>
        <v>-175.20371534474191</v>
      </c>
      <c r="G11" s="187">
        <f>E10-G10</f>
        <v>-158.99047150687295</v>
      </c>
      <c r="R11" s="3"/>
      <c r="S11" s="3"/>
    </row>
    <row r="12" spans="2:19">
      <c r="B12" s="206" t="s">
        <v>29</v>
      </c>
      <c r="C12" s="203"/>
      <c r="D12" s="194"/>
      <c r="E12" s="194"/>
      <c r="F12" s="194"/>
      <c r="G12" s="195"/>
      <c r="R12" s="3"/>
      <c r="S12" s="3"/>
    </row>
    <row r="13" spans="2:19">
      <c r="B13" s="204"/>
      <c r="C13" s="197" t="s">
        <v>151</v>
      </c>
      <c r="D13" s="97">
        <f>D48</f>
        <v>0</v>
      </c>
      <c r="E13" s="187">
        <f t="shared" ref="E13:G15" si="1">P35*P38</f>
        <v>0.44928000000000001</v>
      </c>
      <c r="F13" s="187">
        <f t="shared" si="1"/>
        <v>1.8449104870297413</v>
      </c>
      <c r="G13" s="187">
        <f t="shared" si="1"/>
        <v>0.10941046723897017</v>
      </c>
      <c r="R13" s="3"/>
      <c r="S13" s="3"/>
    </row>
    <row r="14" spans="2:19">
      <c r="B14" s="205"/>
      <c r="C14" s="197" t="s">
        <v>151</v>
      </c>
      <c r="D14" s="97">
        <f>D49</f>
        <v>0</v>
      </c>
      <c r="E14" s="187">
        <f t="shared" si="1"/>
        <v>10.907331003000003</v>
      </c>
      <c r="F14" s="187">
        <f t="shared" si="1"/>
        <v>44.789550732147731</v>
      </c>
      <c r="G14" s="187">
        <f t="shared" si="1"/>
        <v>2.6561969848832256</v>
      </c>
      <c r="R14" s="3"/>
      <c r="S14" s="3"/>
    </row>
    <row r="15" spans="2:19">
      <c r="B15" s="205" t="s">
        <v>323</v>
      </c>
      <c r="C15" s="197" t="s">
        <v>156</v>
      </c>
      <c r="D15" s="97">
        <f>D50</f>
        <v>0</v>
      </c>
      <c r="E15" s="187">
        <f t="shared" si="1"/>
        <v>-3710.8216026758087</v>
      </c>
      <c r="F15" s="187">
        <f t="shared" si="1"/>
        <v>-4659.2403430611639</v>
      </c>
      <c r="G15" s="187">
        <f t="shared" si="1"/>
        <v>-2955.4596786132547</v>
      </c>
      <c r="R15" s="3"/>
      <c r="S15" s="3"/>
    </row>
    <row r="16" spans="2:19">
      <c r="B16" s="205"/>
      <c r="C16" s="237" t="s">
        <v>168</v>
      </c>
      <c r="D16" s="238"/>
      <c r="E16" s="187">
        <f>(E15+SUM(E13:E14))</f>
        <v>-3699.4649916728085</v>
      </c>
      <c r="F16" s="187">
        <f>(F15+SUM(F13:F14))</f>
        <v>-4612.605881841986</v>
      </c>
      <c r="G16" s="187">
        <f>(G15+SUM(G13:G14))</f>
        <v>-2952.6940711611323</v>
      </c>
      <c r="R16" s="3"/>
      <c r="S16" s="3"/>
    </row>
    <row r="17" spans="2:21">
      <c r="B17" s="98"/>
      <c r="C17" s="239" t="s">
        <v>174</v>
      </c>
      <c r="D17" s="240"/>
      <c r="E17" s="187">
        <f>E16-E16</f>
        <v>0</v>
      </c>
      <c r="F17" s="187">
        <f>F16-E16</f>
        <v>-913.14089016917751</v>
      </c>
      <c r="G17" s="187">
        <f>E16-G16</f>
        <v>-746.7709205116762</v>
      </c>
      <c r="R17" s="3"/>
      <c r="S17" s="3"/>
    </row>
    <row r="18" spans="2:21">
      <c r="B18" s="206" t="s">
        <v>41</v>
      </c>
      <c r="C18" s="203"/>
      <c r="D18" s="194"/>
      <c r="E18" s="194"/>
      <c r="F18" s="194"/>
      <c r="G18" s="195"/>
      <c r="R18" s="3"/>
      <c r="S18" s="3"/>
    </row>
    <row r="19" spans="2:21">
      <c r="B19" s="204"/>
      <c r="C19" s="197" t="s">
        <v>151</v>
      </c>
      <c r="D19" s="97" t="str">
        <f>D54</f>
        <v>Sample of relevant geography for more than 50% of geography</v>
      </c>
      <c r="E19" s="187">
        <f>P42*P45</f>
        <v>0.44928000000000001</v>
      </c>
      <c r="F19" s="187">
        <f t="shared" ref="F19:G19" si="2">Q42*Q45</f>
        <v>1.8449104870297413</v>
      </c>
      <c r="G19" s="187">
        <f t="shared" si="2"/>
        <v>0.10941046723897017</v>
      </c>
      <c r="R19" s="3"/>
      <c r="S19" s="3"/>
    </row>
    <row r="20" spans="2:21">
      <c r="B20" s="205"/>
      <c r="C20" s="197" t="s">
        <v>151</v>
      </c>
      <c r="D20" s="97" t="str">
        <f>D55</f>
        <v>Significant sample / coverage</v>
      </c>
      <c r="E20" s="187">
        <f t="shared" ref="E20:E21" si="3">P43*P46</f>
        <v>10.884087003000003</v>
      </c>
      <c r="F20" s="187">
        <f t="shared" ref="F20:F21" si="4">Q43*Q46</f>
        <v>44.694102238200706</v>
      </c>
      <c r="G20" s="187">
        <f t="shared" ref="G20:G21" si="5">R43*R46</f>
        <v>2.6505365127934315</v>
      </c>
      <c r="R20" s="3"/>
      <c r="S20" s="3"/>
    </row>
    <row r="21" spans="2:21">
      <c r="B21" s="205" t="s">
        <v>323</v>
      </c>
      <c r="C21" s="197" t="s">
        <v>156</v>
      </c>
      <c r="D21" s="97" t="str">
        <f>D56</f>
        <v>Publicly available with transparent high-quality methods / Primary survey data with high-quality methods</v>
      </c>
      <c r="E21" s="187">
        <f t="shared" si="3"/>
        <v>-746.90914016295642</v>
      </c>
      <c r="F21" s="187">
        <f t="shared" si="4"/>
        <v>-937.80557813368978</v>
      </c>
      <c r="G21" s="187">
        <f t="shared" si="5"/>
        <v>-594.87091638885386</v>
      </c>
      <c r="R21" s="3"/>
      <c r="S21" s="3"/>
    </row>
    <row r="22" spans="2:21">
      <c r="B22" s="205"/>
      <c r="C22" s="237" t="s">
        <v>168</v>
      </c>
      <c r="D22" s="238"/>
      <c r="E22" s="187">
        <f>(E21+SUM(E19:E20))</f>
        <v>-735.57577315995638</v>
      </c>
      <c r="F22" s="187">
        <f>(F21+SUM(F19:F20))</f>
        <v>-891.26656540845931</v>
      </c>
      <c r="G22" s="187">
        <f>(G21+SUM(G19:G20))</f>
        <v>-592.11096940882146</v>
      </c>
      <c r="R22" s="3"/>
      <c r="S22" s="3"/>
    </row>
    <row r="23" spans="2:21">
      <c r="B23" s="98"/>
      <c r="C23" s="239" t="s">
        <v>174</v>
      </c>
      <c r="D23" s="240"/>
      <c r="E23" s="187">
        <f>E22-E22</f>
        <v>0</v>
      </c>
      <c r="F23" s="187">
        <f>F22-E22</f>
        <v>-155.69079224850293</v>
      </c>
      <c r="G23" s="187">
        <f>E22-G22</f>
        <v>-143.46480375113492</v>
      </c>
      <c r="R23" s="3"/>
      <c r="S23" s="3"/>
    </row>
    <row r="24" spans="2:21">
      <c r="B24" s="1"/>
      <c r="K24" s="1"/>
      <c r="M24" s="2"/>
      <c r="N24" s="2"/>
      <c r="O24" s="2"/>
      <c r="R24" s="3"/>
      <c r="S24" s="3"/>
      <c r="U24" s="1"/>
    </row>
    <row r="25" spans="2:21" ht="19.149999999999999" customHeight="1">
      <c r="E25" s="241" t="s">
        <v>138</v>
      </c>
      <c r="F25" s="241"/>
      <c r="G25" s="241"/>
      <c r="H25" s="241"/>
      <c r="I25" s="241"/>
      <c r="J25" s="242" t="s">
        <v>139</v>
      </c>
      <c r="K25" s="242"/>
      <c r="L25" s="242"/>
      <c r="M25" s="242"/>
      <c r="N25" s="242"/>
      <c r="O25" s="242"/>
      <c r="P25" s="231" t="s">
        <v>140</v>
      </c>
      <c r="Q25" s="232"/>
      <c r="R25" s="233"/>
      <c r="S25" s="3"/>
    </row>
    <row r="26" spans="2:21" ht="53.25" customHeight="1">
      <c r="B26" s="4" t="s">
        <v>141</v>
      </c>
      <c r="C26" s="5" t="s">
        <v>142</v>
      </c>
      <c r="D26" s="5" t="s">
        <v>143</v>
      </c>
      <c r="E26" s="207" t="s">
        <v>316</v>
      </c>
      <c r="F26" s="208" t="s">
        <v>317</v>
      </c>
      <c r="G26" s="207" t="s">
        <v>318</v>
      </c>
      <c r="H26" s="208" t="s">
        <v>144</v>
      </c>
      <c r="I26" s="208" t="s">
        <v>145</v>
      </c>
      <c r="J26" s="208" t="s">
        <v>316</v>
      </c>
      <c r="K26" s="208" t="s">
        <v>317</v>
      </c>
      <c r="L26" s="208" t="s">
        <v>318</v>
      </c>
      <c r="M26" s="208" t="s">
        <v>144</v>
      </c>
      <c r="N26" s="208" t="s">
        <v>145</v>
      </c>
      <c r="O26" s="6" t="s">
        <v>146</v>
      </c>
      <c r="P26" s="6" t="s">
        <v>147</v>
      </c>
      <c r="Q26" s="6" t="s">
        <v>148</v>
      </c>
      <c r="R26" s="6" t="s">
        <v>149</v>
      </c>
      <c r="S26" s="3"/>
    </row>
    <row r="27" spans="2:21" ht="18.600000000000001" customHeight="1">
      <c r="B27" s="216" t="str">
        <f>B6</f>
        <v>Corn</v>
      </c>
      <c r="C27" s="209"/>
      <c r="D27" s="210"/>
      <c r="E27" s="211"/>
      <c r="F27" s="211"/>
      <c r="G27" s="211"/>
      <c r="H27" s="211"/>
      <c r="I27" s="211"/>
      <c r="J27" s="212"/>
      <c r="K27" s="212"/>
      <c r="L27" s="212"/>
      <c r="M27" s="212"/>
      <c r="N27" s="212"/>
      <c r="O27" s="213"/>
      <c r="P27" s="214"/>
      <c r="Q27" s="214"/>
      <c r="R27" s="215"/>
      <c r="S27" s="3"/>
    </row>
    <row r="28" spans="2:21" ht="18.600000000000001" customHeight="1">
      <c r="B28" s="234" t="s">
        <v>150</v>
      </c>
      <c r="C28" s="97" t="s">
        <v>151</v>
      </c>
      <c r="D28" s="198" t="s">
        <v>102</v>
      </c>
      <c r="E28" s="188" t="s">
        <v>152</v>
      </c>
      <c r="F28" s="189" t="s">
        <v>153</v>
      </c>
      <c r="G28" s="190" t="s">
        <v>154</v>
      </c>
      <c r="H28" s="189" t="s">
        <v>153</v>
      </c>
      <c r="I28" s="188" t="s">
        <v>152</v>
      </c>
      <c r="J28" s="199">
        <f t="shared" ref="J28:J33" si="6">INDEX($C$64:$F$64,MATCH(E28,$C$59:$F$59,0))</f>
        <v>2</v>
      </c>
      <c r="K28" s="199">
        <f t="shared" ref="K28:K33" si="7">INDEX($C$62:$F$62,MATCH(F28,$C$59:$F$59,0))</f>
        <v>1.1000000000000001</v>
      </c>
      <c r="L28" s="199">
        <f t="shared" ref="L28:L33" si="8">INDEX($C$63:$F$63,MATCH(G28,$C$59:$F$59,0))</f>
        <v>1</v>
      </c>
      <c r="M28" s="199">
        <f t="shared" ref="M28:M33" si="9">INDEX($C$60:$F$60,MATCH(H28,$C$59:$F$59,0))</f>
        <v>1.1000000000000001</v>
      </c>
      <c r="N28" s="199">
        <f t="shared" ref="N28:N33" si="10">INDEX($C$61:$F$61,MATCH(I28,$C$59:$F$59,0))</f>
        <v>1.2</v>
      </c>
      <c r="O28" s="10">
        <f>EXP(SQRT((LN(J28)^2)+(LN(K28)^2)+(LN(L28)^2)+(LN(M28)^2)))</f>
        <v>2.0261370730971273</v>
      </c>
      <c r="P28" s="200">
        <f>'First Order Effects'!$M$4</f>
        <v>1</v>
      </c>
      <c r="Q28" s="200">
        <f>(P28*O28)</f>
        <v>2.0261370730971273</v>
      </c>
      <c r="R28" s="200">
        <f>(P28/O28)</f>
        <v>0.49355002347961224</v>
      </c>
      <c r="S28" s="3"/>
    </row>
    <row r="29" spans="2:21">
      <c r="B29" s="235"/>
      <c r="C29" s="97" t="s">
        <v>151</v>
      </c>
      <c r="D29" s="198" t="s">
        <v>155</v>
      </c>
      <c r="E29" s="188" t="s">
        <v>152</v>
      </c>
      <c r="F29" s="189" t="s">
        <v>153</v>
      </c>
      <c r="G29" s="190" t="s">
        <v>154</v>
      </c>
      <c r="H29" s="189" t="s">
        <v>153</v>
      </c>
      <c r="I29" s="188" t="s">
        <v>152</v>
      </c>
      <c r="J29" s="199">
        <f t="shared" si="6"/>
        <v>2</v>
      </c>
      <c r="K29" s="199">
        <f t="shared" si="7"/>
        <v>1.1000000000000001</v>
      </c>
      <c r="L29" s="199">
        <f t="shared" si="8"/>
        <v>1</v>
      </c>
      <c r="M29" s="199">
        <f t="shared" si="9"/>
        <v>1.1000000000000001</v>
      </c>
      <c r="N29" s="199">
        <f t="shared" si="10"/>
        <v>1.2</v>
      </c>
      <c r="O29" s="10">
        <f t="shared" ref="O29:O33" si="11">EXP(SQRT((LN(J29)^2)+(LN(K29)^2)+(LN(L29)^2)+(LN(M29)^2)))</f>
        <v>2.0261370730971273</v>
      </c>
      <c r="P29" s="200">
        <f>'First Order Effects'!$E$7</f>
        <v>3</v>
      </c>
      <c r="Q29" s="200">
        <f t="shared" ref="Q29:Q33" si="12">(P29*O29)</f>
        <v>6.0784112192913824</v>
      </c>
      <c r="R29" s="200">
        <f t="shared" ref="R29:R33" si="13">(P29/O29)</f>
        <v>1.4806500704388368</v>
      </c>
      <c r="S29" s="3"/>
    </row>
    <row r="30" spans="2:21">
      <c r="B30" s="236"/>
      <c r="C30" s="97" t="s">
        <v>156</v>
      </c>
      <c r="D30" s="196" t="s">
        <v>194</v>
      </c>
      <c r="E30" s="190" t="s">
        <v>154</v>
      </c>
      <c r="F30" s="190" t="s">
        <v>154</v>
      </c>
      <c r="G30" s="190" t="s">
        <v>154</v>
      </c>
      <c r="H30" s="190" t="s">
        <v>154</v>
      </c>
      <c r="I30" s="189" t="s">
        <v>153</v>
      </c>
      <c r="J30" s="199">
        <f t="shared" si="6"/>
        <v>1</v>
      </c>
      <c r="K30" s="199">
        <f t="shared" si="7"/>
        <v>1</v>
      </c>
      <c r="L30" s="199">
        <f t="shared" si="8"/>
        <v>1</v>
      </c>
      <c r="M30" s="199">
        <f t="shared" si="9"/>
        <v>1</v>
      </c>
      <c r="N30" s="199">
        <f t="shared" si="10"/>
        <v>1.05</v>
      </c>
      <c r="O30" s="10">
        <f>EXP(SQRT((LN(J30)^2)+(LN(K30)^2)+(LN(L30)^2)+(LN(M30)^2)))</f>
        <v>1</v>
      </c>
      <c r="P30" s="200">
        <f>Backend!$F$31</f>
        <v>8644.8004795101751</v>
      </c>
      <c r="Q30" s="200">
        <f>(P30*O30)</f>
        <v>8644.8004795101751</v>
      </c>
      <c r="R30" s="200">
        <f t="shared" si="13"/>
        <v>8644.8004795101751</v>
      </c>
      <c r="S30" s="3"/>
    </row>
    <row r="31" spans="2:21">
      <c r="B31" s="234" t="s">
        <v>157</v>
      </c>
      <c r="C31" s="97" t="s">
        <v>151</v>
      </c>
      <c r="D31" s="198" t="s">
        <v>102</v>
      </c>
      <c r="E31" s="188" t="s">
        <v>152</v>
      </c>
      <c r="F31" s="189" t="s">
        <v>153</v>
      </c>
      <c r="G31" s="189" t="s">
        <v>153</v>
      </c>
      <c r="H31" s="189" t="s">
        <v>153</v>
      </c>
      <c r="I31" s="188" t="s">
        <v>158</v>
      </c>
      <c r="J31" s="199">
        <f t="shared" si="6"/>
        <v>2</v>
      </c>
      <c r="K31" s="199">
        <f t="shared" si="7"/>
        <v>1.1000000000000001</v>
      </c>
      <c r="L31" s="199">
        <f t="shared" si="8"/>
        <v>1.02</v>
      </c>
      <c r="M31" s="199">
        <f t="shared" si="9"/>
        <v>1.1000000000000001</v>
      </c>
      <c r="N31" s="199">
        <f t="shared" si="10"/>
        <v>1.1000000000000001</v>
      </c>
      <c r="O31" s="10">
        <f t="shared" si="11"/>
        <v>2.026699639848895</v>
      </c>
      <c r="P31" s="200">
        <f>'Emission Factors'!$E$48</f>
        <v>0.44928000000000001</v>
      </c>
      <c r="Q31" s="200">
        <f t="shared" si="12"/>
        <v>0.91055561419131159</v>
      </c>
      <c r="R31" s="200">
        <f t="shared" si="13"/>
        <v>0.22168060385775618</v>
      </c>
      <c r="S31" s="3"/>
    </row>
    <row r="32" spans="2:21">
      <c r="B32" s="235"/>
      <c r="C32" s="97" t="s">
        <v>151</v>
      </c>
      <c r="D32" s="198" t="s">
        <v>155</v>
      </c>
      <c r="E32" s="188" t="s">
        <v>152</v>
      </c>
      <c r="F32" s="189" t="s">
        <v>153</v>
      </c>
      <c r="G32" s="189" t="s">
        <v>153</v>
      </c>
      <c r="H32" s="189" t="s">
        <v>153</v>
      </c>
      <c r="I32" s="188" t="s">
        <v>158</v>
      </c>
      <c r="J32" s="199">
        <f t="shared" si="6"/>
        <v>2</v>
      </c>
      <c r="K32" s="199">
        <f t="shared" si="7"/>
        <v>1.1000000000000001</v>
      </c>
      <c r="L32" s="199">
        <f t="shared" si="8"/>
        <v>1.02</v>
      </c>
      <c r="M32" s="199">
        <f t="shared" si="9"/>
        <v>1.1000000000000001</v>
      </c>
      <c r="N32" s="199">
        <f t="shared" si="10"/>
        <v>1.1000000000000001</v>
      </c>
      <c r="O32" s="10">
        <f t="shared" si="11"/>
        <v>2.026699639848895</v>
      </c>
      <c r="P32" s="200">
        <f>'Emission Factors'!$E$49</f>
        <v>3.6250650010000007</v>
      </c>
      <c r="Q32" s="200">
        <f t="shared" si="12"/>
        <v>7.3469179319555353</v>
      </c>
      <c r="R32" s="200">
        <f t="shared" si="13"/>
        <v>1.7886542878501106</v>
      </c>
      <c r="S32" s="3"/>
    </row>
    <row r="33" spans="2:19">
      <c r="B33" s="236"/>
      <c r="C33" s="97" t="s">
        <v>156</v>
      </c>
      <c r="D33" s="196" t="s">
        <v>194</v>
      </c>
      <c r="E33" s="189" t="s">
        <v>153</v>
      </c>
      <c r="F33" s="189" t="s">
        <v>153</v>
      </c>
      <c r="G33" s="189" t="s">
        <v>153</v>
      </c>
      <c r="H33" s="189" t="s">
        <v>153</v>
      </c>
      <c r="I33" s="189" t="s">
        <v>153</v>
      </c>
      <c r="J33" s="199">
        <f t="shared" si="6"/>
        <v>1.2</v>
      </c>
      <c r="K33" s="199">
        <f t="shared" si="7"/>
        <v>1.1000000000000001</v>
      </c>
      <c r="L33" s="199">
        <f t="shared" si="8"/>
        <v>1.02</v>
      </c>
      <c r="M33" s="199">
        <f t="shared" si="9"/>
        <v>1.1000000000000001</v>
      </c>
      <c r="N33" s="199">
        <f t="shared" si="10"/>
        <v>1.05</v>
      </c>
      <c r="O33" s="10">
        <f t="shared" si="11"/>
        <v>1.2555818742947564</v>
      </c>
      <c r="P33" s="200">
        <f>'Emission Factors'!$E$50</f>
        <v>-9.5218868438717352E-2</v>
      </c>
      <c r="Q33" s="200">
        <f t="shared" si="12"/>
        <v>-0.11955508530251056</v>
      </c>
      <c r="R33" s="200">
        <f t="shared" si="13"/>
        <v>-7.5836447139060945E-2</v>
      </c>
      <c r="S33" s="3"/>
    </row>
    <row r="34" spans="2:19" ht="18.600000000000001" customHeight="1">
      <c r="B34" s="216" t="str">
        <f>B12</f>
        <v>Winter Wheat</v>
      </c>
      <c r="C34" s="209"/>
      <c r="D34" s="210"/>
      <c r="E34" s="211"/>
      <c r="F34" s="211"/>
      <c r="G34" s="211"/>
      <c r="H34" s="211"/>
      <c r="I34" s="211"/>
      <c r="J34" s="212"/>
      <c r="K34" s="212"/>
      <c r="L34" s="212"/>
      <c r="M34" s="212"/>
      <c r="N34" s="212"/>
      <c r="O34" s="213"/>
      <c r="P34" s="214"/>
      <c r="Q34" s="214"/>
      <c r="R34" s="215"/>
      <c r="S34" s="3"/>
    </row>
    <row r="35" spans="2:19" ht="18.600000000000001" customHeight="1">
      <c r="B35" s="234" t="s">
        <v>150</v>
      </c>
      <c r="C35" s="97" t="s">
        <v>151</v>
      </c>
      <c r="D35" s="198" t="s">
        <v>102</v>
      </c>
      <c r="E35" s="188" t="s">
        <v>152</v>
      </c>
      <c r="F35" s="189" t="s">
        <v>153</v>
      </c>
      <c r="G35" s="190" t="s">
        <v>154</v>
      </c>
      <c r="H35" s="189" t="s">
        <v>153</v>
      </c>
      <c r="I35" s="188" t="s">
        <v>152</v>
      </c>
      <c r="J35" s="199">
        <f t="shared" ref="J35:J40" si="14">INDEX($C$64:$F$64,MATCH(E35,$C$59:$F$59,0))</f>
        <v>2</v>
      </c>
      <c r="K35" s="199">
        <f t="shared" ref="K35:K40" si="15">INDEX($C$62:$F$62,MATCH(F35,$C$59:$F$59,0))</f>
        <v>1.1000000000000001</v>
      </c>
      <c r="L35" s="199">
        <f t="shared" ref="L35:L40" si="16">INDEX($C$63:$F$63,MATCH(G35,$C$59:$F$59,0))</f>
        <v>1</v>
      </c>
      <c r="M35" s="199">
        <f t="shared" ref="M35:M40" si="17">INDEX($C$60:$F$60,MATCH(H35,$C$59:$F$59,0))</f>
        <v>1.1000000000000001</v>
      </c>
      <c r="N35" s="199">
        <f t="shared" ref="N35:N40" si="18">INDEX($C$61:$F$61,MATCH(I35,$C$59:$F$59,0))</f>
        <v>1.2</v>
      </c>
      <c r="O35" s="10">
        <f>EXP(SQRT((LN(J35)^2)+(LN(K35)^2)+(LN(L35)^2)+(LN(M35)^2)))</f>
        <v>2.0261370730971273</v>
      </c>
      <c r="P35" s="200">
        <f>'First Order Effects'!$M$4</f>
        <v>1</v>
      </c>
      <c r="Q35" s="200">
        <f>(P35*O35)</f>
        <v>2.0261370730971273</v>
      </c>
      <c r="R35" s="200">
        <f>(P35/O35)</f>
        <v>0.49355002347961224</v>
      </c>
      <c r="S35" s="3"/>
    </row>
    <row r="36" spans="2:19">
      <c r="B36" s="235"/>
      <c r="C36" s="97" t="s">
        <v>151</v>
      </c>
      <c r="D36" s="198" t="s">
        <v>155</v>
      </c>
      <c r="E36" s="188" t="s">
        <v>152</v>
      </c>
      <c r="F36" s="189" t="s">
        <v>153</v>
      </c>
      <c r="G36" s="190" t="s">
        <v>154</v>
      </c>
      <c r="H36" s="189" t="s">
        <v>153</v>
      </c>
      <c r="I36" s="188" t="s">
        <v>152</v>
      </c>
      <c r="J36" s="199">
        <f t="shared" si="14"/>
        <v>2</v>
      </c>
      <c r="K36" s="199">
        <f t="shared" si="15"/>
        <v>1.1000000000000001</v>
      </c>
      <c r="L36" s="199">
        <f t="shared" si="16"/>
        <v>1</v>
      </c>
      <c r="M36" s="199">
        <f t="shared" si="17"/>
        <v>1.1000000000000001</v>
      </c>
      <c r="N36" s="199">
        <f t="shared" si="18"/>
        <v>1.2</v>
      </c>
      <c r="O36" s="10">
        <f t="shared" ref="O36" si="19">EXP(SQRT((LN(J36)^2)+(LN(K36)^2)+(LN(L36)^2)+(LN(M36)^2)))</f>
        <v>2.0261370730971273</v>
      </c>
      <c r="P36" s="200">
        <f>'First Order Effects'!$E$7</f>
        <v>3</v>
      </c>
      <c r="Q36" s="200">
        <f t="shared" ref="Q36" si="20">(P36*O36)</f>
        <v>6.0784112192913824</v>
      </c>
      <c r="R36" s="200">
        <f t="shared" ref="R36:R40" si="21">(P36/O36)</f>
        <v>1.4806500704388368</v>
      </c>
      <c r="S36" s="3"/>
    </row>
    <row r="37" spans="2:19">
      <c r="B37" s="236"/>
      <c r="C37" s="97" t="s">
        <v>156</v>
      </c>
      <c r="D37" s="196" t="s">
        <v>194</v>
      </c>
      <c r="E37" s="190" t="s">
        <v>154</v>
      </c>
      <c r="F37" s="190" t="s">
        <v>154</v>
      </c>
      <c r="G37" s="190" t="s">
        <v>154</v>
      </c>
      <c r="H37" s="190" t="s">
        <v>154</v>
      </c>
      <c r="I37" s="189" t="s">
        <v>153</v>
      </c>
      <c r="J37" s="199">
        <f t="shared" si="14"/>
        <v>1</v>
      </c>
      <c r="K37" s="199">
        <f t="shared" si="15"/>
        <v>1</v>
      </c>
      <c r="L37" s="199">
        <f t="shared" si="16"/>
        <v>1</v>
      </c>
      <c r="M37" s="199">
        <f t="shared" si="17"/>
        <v>1</v>
      </c>
      <c r="N37" s="199">
        <f t="shared" si="18"/>
        <v>1.05</v>
      </c>
      <c r="O37" s="10">
        <f>EXP(SQRT((LN(J37)^2)+(LN(K37)^2)+(LN(L37)^2)+(LN(M37)^2)))</f>
        <v>1</v>
      </c>
      <c r="P37" s="200">
        <f>Backend!F35</f>
        <v>29895.641699273474</v>
      </c>
      <c r="Q37" s="200">
        <f>(P37*O37)</f>
        <v>29895.641699273474</v>
      </c>
      <c r="R37" s="200">
        <f t="shared" si="21"/>
        <v>29895.641699273474</v>
      </c>
      <c r="S37" s="3"/>
    </row>
    <row r="38" spans="2:19">
      <c r="B38" s="234" t="s">
        <v>157</v>
      </c>
      <c r="C38" s="97" t="s">
        <v>151</v>
      </c>
      <c r="D38" s="198" t="s">
        <v>102</v>
      </c>
      <c r="E38" s="188" t="s">
        <v>152</v>
      </c>
      <c r="F38" s="189" t="s">
        <v>153</v>
      </c>
      <c r="G38" s="189" t="s">
        <v>153</v>
      </c>
      <c r="H38" s="189" t="s">
        <v>153</v>
      </c>
      <c r="I38" s="188" t="s">
        <v>158</v>
      </c>
      <c r="J38" s="199">
        <f t="shared" si="14"/>
        <v>2</v>
      </c>
      <c r="K38" s="199">
        <f t="shared" si="15"/>
        <v>1.1000000000000001</v>
      </c>
      <c r="L38" s="199">
        <f t="shared" si="16"/>
        <v>1.02</v>
      </c>
      <c r="M38" s="199">
        <f t="shared" si="17"/>
        <v>1.1000000000000001</v>
      </c>
      <c r="N38" s="199">
        <f t="shared" si="18"/>
        <v>1.1000000000000001</v>
      </c>
      <c r="O38" s="10">
        <f t="shared" ref="O38:O40" si="22">EXP(SQRT((LN(J38)^2)+(LN(K38)^2)+(LN(L38)^2)+(LN(M38)^2)))</f>
        <v>2.026699639848895</v>
      </c>
      <c r="P38" s="200">
        <f>'Emission Factors'!$F$48</f>
        <v>0.44928000000000001</v>
      </c>
      <c r="Q38" s="200">
        <f t="shared" ref="Q38:Q40" si="23">(P38*O38)</f>
        <v>0.91055561419131159</v>
      </c>
      <c r="R38" s="200">
        <f t="shared" si="21"/>
        <v>0.22168060385775618</v>
      </c>
      <c r="S38" s="3"/>
    </row>
    <row r="39" spans="2:19">
      <c r="B39" s="235"/>
      <c r="C39" s="97" t="s">
        <v>151</v>
      </c>
      <c r="D39" s="198" t="s">
        <v>155</v>
      </c>
      <c r="E39" s="188" t="s">
        <v>152</v>
      </c>
      <c r="F39" s="189" t="s">
        <v>153</v>
      </c>
      <c r="G39" s="189" t="s">
        <v>153</v>
      </c>
      <c r="H39" s="189" t="s">
        <v>153</v>
      </c>
      <c r="I39" s="188" t="s">
        <v>158</v>
      </c>
      <c r="J39" s="199">
        <f t="shared" si="14"/>
        <v>2</v>
      </c>
      <c r="K39" s="199">
        <f t="shared" si="15"/>
        <v>1.1000000000000001</v>
      </c>
      <c r="L39" s="199">
        <f t="shared" si="16"/>
        <v>1.02</v>
      </c>
      <c r="M39" s="199">
        <f t="shared" si="17"/>
        <v>1.1000000000000001</v>
      </c>
      <c r="N39" s="199">
        <f t="shared" si="18"/>
        <v>1.1000000000000001</v>
      </c>
      <c r="O39" s="10">
        <f t="shared" si="22"/>
        <v>2.026699639848895</v>
      </c>
      <c r="P39" s="200">
        <f>'Emission Factors'!$F$49</f>
        <v>3.635777001000001</v>
      </c>
      <c r="Q39" s="200">
        <f t="shared" si="23"/>
        <v>7.3686279384975979</v>
      </c>
      <c r="R39" s="200">
        <f t="shared" si="21"/>
        <v>1.7939397281735709</v>
      </c>
      <c r="S39" s="3"/>
    </row>
    <row r="40" spans="2:19">
      <c r="B40" s="236"/>
      <c r="C40" s="97" t="s">
        <v>156</v>
      </c>
      <c r="D40" s="196" t="s">
        <v>194</v>
      </c>
      <c r="E40" s="189" t="s">
        <v>153</v>
      </c>
      <c r="F40" s="189" t="s">
        <v>153</v>
      </c>
      <c r="G40" s="189" t="s">
        <v>153</v>
      </c>
      <c r="H40" s="189" t="s">
        <v>153</v>
      </c>
      <c r="I40" s="189" t="s">
        <v>153</v>
      </c>
      <c r="J40" s="199">
        <f t="shared" si="14"/>
        <v>1.2</v>
      </c>
      <c r="K40" s="199">
        <f t="shared" si="15"/>
        <v>1.1000000000000001</v>
      </c>
      <c r="L40" s="199">
        <f t="shared" si="16"/>
        <v>1.02</v>
      </c>
      <c r="M40" s="199">
        <f t="shared" si="17"/>
        <v>1.1000000000000001</v>
      </c>
      <c r="N40" s="199">
        <f t="shared" si="18"/>
        <v>1.05</v>
      </c>
      <c r="O40" s="10">
        <f t="shared" si="22"/>
        <v>1.2555818742947564</v>
      </c>
      <c r="P40" s="200">
        <f>'Emission Factors'!$F$50</f>
        <v>-0.1241258388096747</v>
      </c>
      <c r="Q40" s="200">
        <f t="shared" si="23"/>
        <v>-0.15585015334106017</v>
      </c>
      <c r="R40" s="200">
        <f t="shared" si="21"/>
        <v>-9.8859215277693091E-2</v>
      </c>
      <c r="S40" s="3"/>
    </row>
    <row r="41" spans="2:19" ht="18.600000000000001" customHeight="1">
      <c r="B41" s="216" t="str">
        <f>B18</f>
        <v>Spring Wheat</v>
      </c>
      <c r="C41" s="209"/>
      <c r="D41" s="210"/>
      <c r="E41" s="211"/>
      <c r="F41" s="211"/>
      <c r="G41" s="211"/>
      <c r="H41" s="211"/>
      <c r="I41" s="211"/>
      <c r="J41" s="212"/>
      <c r="K41" s="212"/>
      <c r="L41" s="212"/>
      <c r="M41" s="212"/>
      <c r="N41" s="212"/>
      <c r="O41" s="213"/>
      <c r="P41" s="214"/>
      <c r="Q41" s="214"/>
      <c r="R41" s="215"/>
      <c r="S41" s="3"/>
    </row>
    <row r="42" spans="2:19" ht="18.600000000000001" customHeight="1">
      <c r="B42" s="234" t="s">
        <v>150</v>
      </c>
      <c r="C42" s="97" t="s">
        <v>151</v>
      </c>
      <c r="D42" s="198" t="s">
        <v>102</v>
      </c>
      <c r="E42" s="188" t="s">
        <v>152</v>
      </c>
      <c r="F42" s="189" t="s">
        <v>153</v>
      </c>
      <c r="G42" s="190" t="s">
        <v>154</v>
      </c>
      <c r="H42" s="189" t="s">
        <v>153</v>
      </c>
      <c r="I42" s="188" t="s">
        <v>152</v>
      </c>
      <c r="J42" s="199">
        <f t="shared" ref="J42:J47" si="24">INDEX($C$64:$F$64,MATCH(E42,$C$59:$F$59,0))</f>
        <v>2</v>
      </c>
      <c r="K42" s="199">
        <f t="shared" ref="K42:K47" si="25">INDEX($C$62:$F$62,MATCH(F42,$C$59:$F$59,0))</f>
        <v>1.1000000000000001</v>
      </c>
      <c r="L42" s="199">
        <f t="shared" ref="L42:L47" si="26">INDEX($C$63:$F$63,MATCH(G42,$C$59:$F$59,0))</f>
        <v>1</v>
      </c>
      <c r="M42" s="199">
        <f t="shared" ref="M42:M47" si="27">INDEX($C$60:$F$60,MATCH(H42,$C$59:$F$59,0))</f>
        <v>1.1000000000000001</v>
      </c>
      <c r="N42" s="199">
        <f t="shared" ref="N42:N47" si="28">INDEX($C$61:$F$61,MATCH(I42,$C$59:$F$59,0))</f>
        <v>1.2</v>
      </c>
      <c r="O42" s="10">
        <f>EXP(SQRT((LN(J42)^2)+(LN(K42)^2)+(LN(L42)^2)+(LN(M42)^2)))</f>
        <v>2.0261370730971273</v>
      </c>
      <c r="P42" s="200">
        <f>'First Order Effects'!$M$4</f>
        <v>1</v>
      </c>
      <c r="Q42" s="200">
        <f>(P42*O42)</f>
        <v>2.0261370730971273</v>
      </c>
      <c r="R42" s="200">
        <f>(P42/O42)</f>
        <v>0.49355002347961224</v>
      </c>
      <c r="S42" s="3"/>
    </row>
    <row r="43" spans="2:19">
      <c r="B43" s="235"/>
      <c r="C43" s="97" t="s">
        <v>151</v>
      </c>
      <c r="D43" s="198" t="s">
        <v>155</v>
      </c>
      <c r="E43" s="188" t="s">
        <v>152</v>
      </c>
      <c r="F43" s="189" t="s">
        <v>153</v>
      </c>
      <c r="G43" s="190" t="s">
        <v>154</v>
      </c>
      <c r="H43" s="189" t="s">
        <v>153</v>
      </c>
      <c r="I43" s="188" t="s">
        <v>152</v>
      </c>
      <c r="J43" s="199">
        <f t="shared" si="24"/>
        <v>2</v>
      </c>
      <c r="K43" s="199">
        <f t="shared" si="25"/>
        <v>1.1000000000000001</v>
      </c>
      <c r="L43" s="199">
        <f t="shared" si="26"/>
        <v>1</v>
      </c>
      <c r="M43" s="199">
        <f t="shared" si="27"/>
        <v>1.1000000000000001</v>
      </c>
      <c r="N43" s="199">
        <f t="shared" si="28"/>
        <v>1.2</v>
      </c>
      <c r="O43" s="10">
        <f t="shared" ref="O43" si="29">EXP(SQRT((LN(J43)^2)+(LN(K43)^2)+(LN(L43)^2)+(LN(M43)^2)))</f>
        <v>2.0261370730971273</v>
      </c>
      <c r="P43" s="200">
        <f>'First Order Effects'!$E$7</f>
        <v>3</v>
      </c>
      <c r="Q43" s="200">
        <f t="shared" ref="Q43" si="30">(P43*O43)</f>
        <v>6.0784112192913824</v>
      </c>
      <c r="R43" s="200">
        <f t="shared" ref="R43:R47" si="31">(P43/O43)</f>
        <v>1.4806500704388368</v>
      </c>
      <c r="S43" s="3"/>
    </row>
    <row r="44" spans="2:19">
      <c r="B44" s="236"/>
      <c r="C44" s="97" t="s">
        <v>156</v>
      </c>
      <c r="D44" s="196" t="s">
        <v>194</v>
      </c>
      <c r="E44" s="190" t="s">
        <v>154</v>
      </c>
      <c r="F44" s="190" t="s">
        <v>154</v>
      </c>
      <c r="G44" s="190" t="s">
        <v>154</v>
      </c>
      <c r="H44" s="190" t="s">
        <v>154</v>
      </c>
      <c r="I44" s="189" t="s">
        <v>153</v>
      </c>
      <c r="J44" s="199">
        <f t="shared" si="24"/>
        <v>1</v>
      </c>
      <c r="K44" s="199">
        <f t="shared" si="25"/>
        <v>1</v>
      </c>
      <c r="L44" s="199">
        <f t="shared" si="26"/>
        <v>1</v>
      </c>
      <c r="M44" s="199">
        <f t="shared" si="27"/>
        <v>1</v>
      </c>
      <c r="N44" s="199">
        <f t="shared" si="28"/>
        <v>1.05</v>
      </c>
      <c r="O44" s="10">
        <f>EXP(SQRT((LN(J44)^2)+(LN(K44)^2)+(LN(L44)^2)+(LN(M44)^2)))</f>
        <v>1</v>
      </c>
      <c r="P44" s="200">
        <f>Backend!F40</f>
        <v>10532.450526315788</v>
      </c>
      <c r="Q44" s="200">
        <f>(P44*O44)</f>
        <v>10532.450526315788</v>
      </c>
      <c r="R44" s="200">
        <f t="shared" si="31"/>
        <v>10532.450526315788</v>
      </c>
      <c r="S44" s="3"/>
    </row>
    <row r="45" spans="2:19">
      <c r="B45" s="234" t="s">
        <v>157</v>
      </c>
      <c r="C45" s="97" t="s">
        <v>151</v>
      </c>
      <c r="D45" s="198" t="s">
        <v>102</v>
      </c>
      <c r="E45" s="188" t="s">
        <v>152</v>
      </c>
      <c r="F45" s="189" t="s">
        <v>153</v>
      </c>
      <c r="G45" s="189" t="s">
        <v>153</v>
      </c>
      <c r="H45" s="189" t="s">
        <v>153</v>
      </c>
      <c r="I45" s="188" t="s">
        <v>158</v>
      </c>
      <c r="J45" s="199">
        <f t="shared" si="24"/>
        <v>2</v>
      </c>
      <c r="K45" s="199">
        <f t="shared" si="25"/>
        <v>1.1000000000000001</v>
      </c>
      <c r="L45" s="199">
        <f t="shared" si="26"/>
        <v>1.02</v>
      </c>
      <c r="M45" s="199">
        <f t="shared" si="27"/>
        <v>1.1000000000000001</v>
      </c>
      <c r="N45" s="199">
        <f t="shared" si="28"/>
        <v>1.1000000000000001</v>
      </c>
      <c r="O45" s="10">
        <f t="shared" ref="O45:O47" si="32">EXP(SQRT((LN(J45)^2)+(LN(K45)^2)+(LN(L45)^2)+(LN(M45)^2)))</f>
        <v>2.026699639848895</v>
      </c>
      <c r="P45" s="200">
        <f>'Emission Factors'!$G$48</f>
        <v>0.44928000000000001</v>
      </c>
      <c r="Q45" s="200">
        <f t="shared" ref="Q45:Q47" si="33">(P45*O45)</f>
        <v>0.91055561419131159</v>
      </c>
      <c r="R45" s="200">
        <f t="shared" si="31"/>
        <v>0.22168060385775618</v>
      </c>
      <c r="S45" s="3"/>
    </row>
    <row r="46" spans="2:19">
      <c r="B46" s="235"/>
      <c r="C46" s="97" t="s">
        <v>151</v>
      </c>
      <c r="D46" s="198" t="s">
        <v>155</v>
      </c>
      <c r="E46" s="188" t="s">
        <v>152</v>
      </c>
      <c r="F46" s="189" t="s">
        <v>153</v>
      </c>
      <c r="G46" s="189" t="s">
        <v>153</v>
      </c>
      <c r="H46" s="189" t="s">
        <v>153</v>
      </c>
      <c r="I46" s="188" t="s">
        <v>158</v>
      </c>
      <c r="J46" s="199">
        <f t="shared" si="24"/>
        <v>2</v>
      </c>
      <c r="K46" s="199">
        <f t="shared" si="25"/>
        <v>1.1000000000000001</v>
      </c>
      <c r="L46" s="199">
        <f t="shared" si="26"/>
        <v>1.02</v>
      </c>
      <c r="M46" s="199">
        <f t="shared" si="27"/>
        <v>1.1000000000000001</v>
      </c>
      <c r="N46" s="199">
        <f t="shared" si="28"/>
        <v>1.1000000000000001</v>
      </c>
      <c r="O46" s="10">
        <f t="shared" si="32"/>
        <v>2.026699639848895</v>
      </c>
      <c r="P46" s="200">
        <f>'Emission Factors'!$G$49</f>
        <v>3.6280290010000011</v>
      </c>
      <c r="Q46" s="200">
        <f t="shared" si="33"/>
        <v>7.352925069688049</v>
      </c>
      <c r="R46" s="200">
        <f t="shared" si="31"/>
        <v>1.7901167640561166</v>
      </c>
      <c r="S46" s="3"/>
    </row>
    <row r="47" spans="2:19">
      <c r="B47" s="236"/>
      <c r="C47" s="97" t="s">
        <v>156</v>
      </c>
      <c r="D47" s="196" t="s">
        <v>194</v>
      </c>
      <c r="E47" s="189" t="s">
        <v>153</v>
      </c>
      <c r="F47" s="189" t="s">
        <v>153</v>
      </c>
      <c r="G47" s="189" t="s">
        <v>153</v>
      </c>
      <c r="H47" s="189" t="s">
        <v>153</v>
      </c>
      <c r="I47" s="189" t="s">
        <v>153</v>
      </c>
      <c r="J47" s="199">
        <f t="shared" si="24"/>
        <v>1.2</v>
      </c>
      <c r="K47" s="199">
        <f t="shared" si="25"/>
        <v>1.1000000000000001</v>
      </c>
      <c r="L47" s="199">
        <f t="shared" si="26"/>
        <v>1.02</v>
      </c>
      <c r="M47" s="199">
        <f t="shared" si="27"/>
        <v>1.1000000000000001</v>
      </c>
      <c r="N47" s="199">
        <f t="shared" si="28"/>
        <v>1.05</v>
      </c>
      <c r="O47" s="10">
        <f t="shared" si="32"/>
        <v>1.2555818742947564</v>
      </c>
      <c r="P47" s="200">
        <f>'Emission Factors'!$G$50</f>
        <v>-7.0915039030733762E-2</v>
      </c>
      <c r="Q47" s="200">
        <f t="shared" si="33"/>
        <v>-8.9039637621894499E-2</v>
      </c>
      <c r="R47" s="200">
        <f t="shared" si="31"/>
        <v>-5.647982061748525E-2</v>
      </c>
      <c r="S47" s="3"/>
    </row>
    <row r="48" spans="2:19">
      <c r="B48" s="94"/>
      <c r="C48" s="30"/>
      <c r="D48" s="30"/>
      <c r="E48" s="30"/>
      <c r="F48" s="30"/>
      <c r="G48" s="30"/>
      <c r="H48" s="30"/>
      <c r="I48" s="30"/>
      <c r="J48" s="30"/>
      <c r="K48" s="94"/>
      <c r="L48" s="94"/>
      <c r="M48" s="94"/>
      <c r="N48" s="94"/>
      <c r="O48" s="95"/>
      <c r="R48" s="3"/>
      <c r="S48" s="3"/>
    </row>
    <row r="49" spans="2:19">
      <c r="B49" s="1" t="s">
        <v>159</v>
      </c>
      <c r="M49" s="2"/>
      <c r="N49" s="2"/>
      <c r="O49" s="2"/>
      <c r="P49" s="2"/>
      <c r="Q49" s="2"/>
      <c r="S49" s="3"/>
    </row>
    <row r="50" spans="2:19">
      <c r="M50" s="2"/>
      <c r="N50" s="2"/>
      <c r="O50" s="2"/>
      <c r="P50" s="2"/>
      <c r="Q50" s="2"/>
      <c r="S50" s="3"/>
    </row>
    <row r="51" spans="2:19">
      <c r="B51" s="11" t="s">
        <v>160</v>
      </c>
      <c r="C51" s="12" t="s">
        <v>161</v>
      </c>
      <c r="D51" s="12" t="s">
        <v>162</v>
      </c>
      <c r="E51" s="12" t="s">
        <v>158</v>
      </c>
      <c r="F51" s="12" t="s">
        <v>152</v>
      </c>
      <c r="M51" s="2"/>
      <c r="N51" s="2"/>
      <c r="O51" s="2"/>
      <c r="P51" s="2"/>
      <c r="Q51" s="2"/>
      <c r="S51" s="3"/>
    </row>
    <row r="52" spans="2:19" ht="39">
      <c r="B52" s="13" t="s">
        <v>163</v>
      </c>
      <c r="C52" s="14" t="s">
        <v>164</v>
      </c>
      <c r="D52" s="14" t="s">
        <v>165</v>
      </c>
      <c r="E52" s="14" t="s">
        <v>166</v>
      </c>
      <c r="F52" s="14" t="s">
        <v>167</v>
      </c>
      <c r="M52" s="2"/>
      <c r="N52" s="2"/>
      <c r="O52" s="2"/>
      <c r="P52" s="2"/>
      <c r="Q52" s="2"/>
      <c r="S52" s="3"/>
    </row>
    <row r="53" spans="2:19" ht="55.15" customHeight="1">
      <c r="B53" s="13" t="s">
        <v>169</v>
      </c>
      <c r="C53" s="14" t="s">
        <v>170</v>
      </c>
      <c r="D53" s="14" t="s">
        <v>171</v>
      </c>
      <c r="E53" s="14" t="s">
        <v>172</v>
      </c>
      <c r="F53" s="14" t="s">
        <v>173</v>
      </c>
      <c r="M53" s="2"/>
      <c r="N53" s="2"/>
      <c r="O53" s="2"/>
      <c r="P53" s="2"/>
      <c r="Q53" s="2"/>
      <c r="S53" s="3"/>
    </row>
    <row r="54" spans="2:19" ht="58.5">
      <c r="B54" s="13" t="s">
        <v>175</v>
      </c>
      <c r="C54" s="14" t="s">
        <v>176</v>
      </c>
      <c r="D54" s="14" t="s">
        <v>177</v>
      </c>
      <c r="E54" s="14" t="s">
        <v>178</v>
      </c>
      <c r="F54" s="14" t="s">
        <v>179</v>
      </c>
    </row>
    <row r="55" spans="2:19" ht="117">
      <c r="B55" s="13" t="s">
        <v>145</v>
      </c>
      <c r="C55" s="14" t="s">
        <v>180</v>
      </c>
      <c r="D55" s="14" t="s">
        <v>181</v>
      </c>
      <c r="E55" s="15" t="s">
        <v>182</v>
      </c>
      <c r="F55" s="14" t="s">
        <v>183</v>
      </c>
      <c r="O55" s="16"/>
    </row>
    <row r="56" spans="2:19" ht="97.5">
      <c r="B56" s="13" t="s">
        <v>184</v>
      </c>
      <c r="C56" s="14" t="s">
        <v>185</v>
      </c>
      <c r="D56" s="14" t="s">
        <v>186</v>
      </c>
      <c r="E56" s="14" t="s">
        <v>187</v>
      </c>
      <c r="F56" s="14" t="s">
        <v>188</v>
      </c>
    </row>
    <row r="57" spans="2:19">
      <c r="B57" s="30" t="s">
        <v>189</v>
      </c>
      <c r="C57" s="3"/>
      <c r="D57" s="3"/>
      <c r="E57" s="3"/>
      <c r="F57" s="3"/>
    </row>
    <row r="58" spans="2:19">
      <c r="C58" s="3"/>
      <c r="D58" s="3"/>
      <c r="E58" s="3"/>
      <c r="F58" s="3"/>
    </row>
    <row r="59" spans="2:19">
      <c r="B59" s="11" t="s">
        <v>160</v>
      </c>
      <c r="C59" s="17" t="s">
        <v>154</v>
      </c>
      <c r="D59" s="12" t="s">
        <v>153</v>
      </c>
      <c r="E59" s="17" t="s">
        <v>158</v>
      </c>
      <c r="F59" s="12" t="s">
        <v>152</v>
      </c>
    </row>
    <row r="60" spans="2:19">
      <c r="B60" s="18" t="s">
        <v>184</v>
      </c>
      <c r="C60" s="19">
        <v>1</v>
      </c>
      <c r="D60" s="19">
        <v>1.1000000000000001</v>
      </c>
      <c r="E60" s="19">
        <v>1.2</v>
      </c>
      <c r="F60" s="19">
        <v>1.5</v>
      </c>
    </row>
    <row r="61" spans="2:19">
      <c r="B61" s="18" t="s">
        <v>145</v>
      </c>
      <c r="C61" s="19">
        <v>1</v>
      </c>
      <c r="D61" s="19">
        <v>1.05</v>
      </c>
      <c r="E61" s="19">
        <v>1.1000000000000001</v>
      </c>
      <c r="F61" s="19">
        <v>1.2</v>
      </c>
    </row>
    <row r="62" spans="2:19">
      <c r="B62" s="18" t="s">
        <v>169</v>
      </c>
      <c r="C62" s="19">
        <v>1</v>
      </c>
      <c r="D62" s="19">
        <v>1.1000000000000001</v>
      </c>
      <c r="E62" s="19">
        <v>1.2</v>
      </c>
      <c r="F62" s="19">
        <v>1.5</v>
      </c>
    </row>
    <row r="63" spans="2:19">
      <c r="B63" s="18" t="s">
        <v>175</v>
      </c>
      <c r="C63" s="19">
        <v>1</v>
      </c>
      <c r="D63" s="19">
        <v>1.02</v>
      </c>
      <c r="E63" s="19">
        <v>1.05</v>
      </c>
      <c r="F63" s="19">
        <v>1.1000000000000001</v>
      </c>
    </row>
    <row r="64" spans="2:19">
      <c r="B64" s="18" t="s">
        <v>163</v>
      </c>
      <c r="C64" s="19">
        <v>1</v>
      </c>
      <c r="D64" s="19">
        <v>1.2</v>
      </c>
      <c r="E64" s="19">
        <v>1.5</v>
      </c>
      <c r="F64" s="19">
        <v>2</v>
      </c>
    </row>
    <row r="65" spans="2:2">
      <c r="B65" s="2" t="s">
        <v>190</v>
      </c>
    </row>
  </sheetData>
  <sheetProtection formatCells="0" formatColumns="0" formatRows="0" insertColumns="0" insertRows="0" insertHyperlinks="0" deleteColumns="0" deleteRows="0" sort="0" autoFilter="0" pivotTables="0"/>
  <mergeCells count="15">
    <mergeCell ref="C10:D10"/>
    <mergeCell ref="C11:D11"/>
    <mergeCell ref="E25:I25"/>
    <mergeCell ref="J25:O25"/>
    <mergeCell ref="C16:D16"/>
    <mergeCell ref="C17:D17"/>
    <mergeCell ref="C22:D22"/>
    <mergeCell ref="C23:D23"/>
    <mergeCell ref="P25:R25"/>
    <mergeCell ref="B35:B37"/>
    <mergeCell ref="B38:B40"/>
    <mergeCell ref="B42:B44"/>
    <mergeCell ref="B45:B47"/>
    <mergeCell ref="B28:B30"/>
    <mergeCell ref="B31:B33"/>
  </mergeCells>
  <phoneticPr fontId="7" type="noConversion"/>
  <conditionalFormatting sqref="B60:B64">
    <cfRule type="containsText" dxfId="27" priority="21" operator="containsText" text="Poor">
      <formula>NOT(ISERROR(SEARCH("Poor",B60)))</formula>
    </cfRule>
    <cfRule type="containsText" dxfId="26" priority="22" operator="containsText" text="Fair">
      <formula>NOT(ISERROR(SEARCH("Fair",B60)))</formula>
    </cfRule>
    <cfRule type="containsText" dxfId="25" priority="23" operator="containsText" text="Good ">
      <formula>NOT(ISERROR(SEARCH("Good ",B60)))</formula>
    </cfRule>
    <cfRule type="containsText" dxfId="24" priority="24" operator="containsText" text="Very Good">
      <formula>NOT(ISERROR(SEARCH("Very Good",B60)))</formula>
    </cfRule>
  </conditionalFormatting>
  <conditionalFormatting sqref="H29 B52:B57">
    <cfRule type="containsText" dxfId="23" priority="41" operator="containsText" text="Poor">
      <formula>NOT(ISERROR(SEARCH("Poor",B29)))</formula>
    </cfRule>
    <cfRule type="containsText" dxfId="22" priority="42" operator="containsText" text="Fair">
      <formula>NOT(ISERROR(SEARCH("Fair",B29)))</formula>
    </cfRule>
    <cfRule type="containsText" dxfId="21" priority="43" operator="containsText" text="Good ">
      <formula>NOT(ISERROR(SEARCH("Good ",B29)))</formula>
    </cfRule>
    <cfRule type="containsText" dxfId="20" priority="44" operator="containsText" text="Very Good">
      <formula>NOT(ISERROR(SEARCH("Very Good",B29)))</formula>
    </cfRule>
  </conditionalFormatting>
  <conditionalFormatting sqref="H36">
    <cfRule type="containsText" dxfId="19" priority="13" operator="containsText" text="Poor">
      <formula>NOT(ISERROR(SEARCH("Poor",H36)))</formula>
    </cfRule>
    <cfRule type="containsText" dxfId="18" priority="14" operator="containsText" text="Fair">
      <formula>NOT(ISERROR(SEARCH("Fair",H36)))</formula>
    </cfRule>
    <cfRule type="containsText" dxfId="17" priority="15" operator="containsText" text="Good ">
      <formula>NOT(ISERROR(SEARCH("Good ",H36)))</formula>
    </cfRule>
    <cfRule type="containsText" dxfId="16" priority="16" operator="containsText" text="Very Good">
      <formula>NOT(ISERROR(SEARCH("Very Good",H36)))</formula>
    </cfRule>
  </conditionalFormatting>
  <conditionalFormatting sqref="H43">
    <cfRule type="containsText" dxfId="15" priority="5" operator="containsText" text="Poor">
      <formula>NOT(ISERROR(SEARCH("Poor",H43)))</formula>
    </cfRule>
    <cfRule type="containsText" dxfId="14" priority="6" operator="containsText" text="Fair">
      <formula>NOT(ISERROR(SEARCH("Fair",H43)))</formula>
    </cfRule>
    <cfRule type="containsText" dxfId="13" priority="7" operator="containsText" text="Good ">
      <formula>NOT(ISERROR(SEARCH("Good ",H43)))</formula>
    </cfRule>
    <cfRule type="containsText" dxfId="12" priority="8" operator="containsText" text="Very Good">
      <formula>NOT(ISERROR(SEARCH("Very Good",H43)))</formula>
    </cfRule>
  </conditionalFormatting>
  <conditionalFormatting sqref="I30">
    <cfRule type="containsText" dxfId="11" priority="17" operator="containsText" text="Poor">
      <formula>NOT(ISERROR(SEARCH("Poor",I30)))</formula>
    </cfRule>
    <cfRule type="containsText" dxfId="10" priority="18" operator="containsText" text="Fair">
      <formula>NOT(ISERROR(SEARCH("Fair",I30)))</formula>
    </cfRule>
    <cfRule type="containsText" dxfId="9" priority="19" operator="containsText" text="Good ">
      <formula>NOT(ISERROR(SEARCH("Good ",I30)))</formula>
    </cfRule>
    <cfRule type="containsText" dxfId="8" priority="20" operator="containsText" text="Very Good">
      <formula>NOT(ISERROR(SEARCH("Very Good",I30)))</formula>
    </cfRule>
  </conditionalFormatting>
  <conditionalFormatting sqref="I37">
    <cfRule type="containsText" dxfId="7" priority="9" operator="containsText" text="Poor">
      <formula>NOT(ISERROR(SEARCH("Poor",I37)))</formula>
    </cfRule>
    <cfRule type="containsText" dxfId="6" priority="10" operator="containsText" text="Fair">
      <formula>NOT(ISERROR(SEARCH("Fair",I37)))</formula>
    </cfRule>
    <cfRule type="containsText" dxfId="5" priority="11" operator="containsText" text="Good ">
      <formula>NOT(ISERROR(SEARCH("Good ",I37)))</formula>
    </cfRule>
    <cfRule type="containsText" dxfId="4" priority="12" operator="containsText" text="Very Good">
      <formula>NOT(ISERROR(SEARCH("Very Good",I37)))</formula>
    </cfRule>
  </conditionalFormatting>
  <conditionalFormatting sqref="I44">
    <cfRule type="containsText" dxfId="3" priority="1" operator="containsText" text="Poor">
      <formula>NOT(ISERROR(SEARCH("Poor",I44)))</formula>
    </cfRule>
    <cfRule type="containsText" dxfId="2" priority="2" operator="containsText" text="Fair">
      <formula>NOT(ISERROR(SEARCH("Fair",I44)))</formula>
    </cfRule>
    <cfRule type="containsText" dxfId="1" priority="3" operator="containsText" text="Good ">
      <formula>NOT(ISERROR(SEARCH("Good ",I44)))</formula>
    </cfRule>
    <cfRule type="containsText" dxfId="0" priority="4" operator="containsText" text="Very Good">
      <formula>NOT(ISERROR(SEARCH("Very Good",I44)))</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codeName="Sheet5">
    <tabColor rgb="FFA6D9F7"/>
  </sheetPr>
  <dimension ref="B2:O40"/>
  <sheetViews>
    <sheetView showGridLines="0" zoomScale="85" zoomScaleNormal="85" workbookViewId="0"/>
  </sheetViews>
  <sheetFormatPr defaultColWidth="8.75" defaultRowHeight="19.5"/>
  <cols>
    <col min="1" max="1" width="5.125" style="2" customWidth="1"/>
    <col min="2" max="2" width="19.75" style="2" customWidth="1"/>
    <col min="3" max="3" width="28.375" style="2" customWidth="1"/>
    <col min="4" max="4" width="31.75" style="2" customWidth="1"/>
    <col min="5" max="5" width="14.375" style="2" customWidth="1"/>
    <col min="6" max="6" width="15.875" style="2" customWidth="1"/>
    <col min="7" max="7" width="19.25" style="2" customWidth="1"/>
    <col min="8" max="8" width="12.25" style="2" customWidth="1"/>
    <col min="9" max="9" width="14.125" style="2" customWidth="1"/>
    <col min="10" max="10" width="22.5" style="2" customWidth="1"/>
    <col min="11" max="11" width="17.125" style="2" customWidth="1"/>
    <col min="12" max="12" width="24.625" style="2" customWidth="1"/>
    <col min="13" max="13" width="24.875" style="2" customWidth="1"/>
    <col min="14" max="14" width="57" style="2" customWidth="1"/>
    <col min="15" max="16384" width="8.75" style="2"/>
  </cols>
  <sheetData>
    <row r="2" spans="2:15">
      <c r="B2" s="1" t="s">
        <v>233</v>
      </c>
    </row>
    <row r="3" spans="2:15">
      <c r="B3" s="2" t="s">
        <v>234</v>
      </c>
    </row>
    <row r="5" spans="2:15" ht="78">
      <c r="B5" s="31" t="s">
        <v>141</v>
      </c>
      <c r="C5" s="31" t="str">
        <f>'Uncertainty Analysis'!C26</f>
        <v>Impact effect</v>
      </c>
      <c r="D5" s="31" t="str">
        <f>'Uncertainty Analysis'!D26</f>
        <v>Description of effect</v>
      </c>
      <c r="E5" s="31" t="str">
        <f>'Uncertainty Analysis'!P26</f>
        <v>Input data</v>
      </c>
      <c r="F5" s="31" t="s">
        <v>235</v>
      </c>
      <c r="G5" s="31" t="s">
        <v>236</v>
      </c>
      <c r="H5" s="32" t="str">
        <f>'Uncertainty Analysis'!Q26</f>
        <v>Input data with SD (higher range)</v>
      </c>
      <c r="I5" s="32" t="str">
        <f>'Uncertainty Analysis'!R26</f>
        <v>Input data with SD (lower range)</v>
      </c>
      <c r="J5" s="31" t="s">
        <v>237</v>
      </c>
      <c r="K5" s="31" t="s">
        <v>238</v>
      </c>
      <c r="L5" s="31" t="s">
        <v>239</v>
      </c>
      <c r="M5" s="31" t="s">
        <v>240</v>
      </c>
      <c r="N5" s="31" t="s">
        <v>241</v>
      </c>
    </row>
    <row r="6" spans="2:15">
      <c r="B6" s="217" t="str">
        <f>'Uncertainty Analysis'!B6</f>
        <v>Corn</v>
      </c>
      <c r="C6" s="209"/>
      <c r="D6" s="210"/>
      <c r="E6" s="211"/>
      <c r="F6" s="211"/>
      <c r="G6" s="211"/>
      <c r="H6" s="211"/>
      <c r="I6" s="211"/>
      <c r="J6" s="211"/>
      <c r="K6" s="211"/>
      <c r="L6" s="211"/>
      <c r="M6" s="211"/>
      <c r="N6" s="211"/>
    </row>
    <row r="7" spans="2:15">
      <c r="B7" s="23" t="s">
        <v>242</v>
      </c>
      <c r="C7" s="23" t="str">
        <f>'Uncertainty Analysis'!C28</f>
        <v xml:space="preserve">1st order </v>
      </c>
      <c r="D7" s="23" t="str">
        <f>'Uncertainty Analysis'!D28</f>
        <v>Monitor</v>
      </c>
      <c r="E7" s="33">
        <f>'Uncertainty Analysis'!P28</f>
        <v>1</v>
      </c>
      <c r="F7" s="68">
        <v>-0.05</v>
      </c>
      <c r="G7" s="68">
        <v>0.05</v>
      </c>
      <c r="H7" s="41">
        <f>E7+(F7*E7)</f>
        <v>0.95</v>
      </c>
      <c r="I7" s="34">
        <f>E7+(G7*E7)</f>
        <v>1.05</v>
      </c>
      <c r="J7" s="34">
        <f>'Uncertainty Analysis'!$E$10-($E7*$E10)+(H7*$E10)</f>
        <v>-811.84610853444008</v>
      </c>
      <c r="K7" s="34">
        <f>'Uncertainty Analysis'!$E$10-($E7*$E10)+(I7*$E10)</f>
        <v>-811.80118053444016</v>
      </c>
      <c r="L7" s="218">
        <f>J7/('Uncertainty Analysis'!$E$10)-1</f>
        <v>2.7671034406706596E-5</v>
      </c>
      <c r="M7" s="218">
        <f>K7/('Uncertainty Analysis'!$E$10)-1</f>
        <v>-2.7671034406484551E-5</v>
      </c>
      <c r="N7" s="35" t="str">
        <f>D7&amp;" "&amp;B7&amp;" +"&amp;TEXT(G7,"0%")&amp;"/"&amp;TEXT(F7,"0%")</f>
        <v>Monitor activity data +5%/-5%</v>
      </c>
      <c r="O7" s="36"/>
    </row>
    <row r="8" spans="2:15">
      <c r="B8" s="23" t="s">
        <v>242</v>
      </c>
      <c r="C8" s="23" t="str">
        <f>'Uncertainty Analysis'!C29</f>
        <v xml:space="preserve">1st order </v>
      </c>
      <c r="D8" s="23" t="str">
        <f>'Uncertainty Analysis'!D29</f>
        <v xml:space="preserve">Electric Mass Flow Controller </v>
      </c>
      <c r="E8" s="33">
        <f>'Uncertainty Analysis'!P29</f>
        <v>3</v>
      </c>
      <c r="F8" s="68">
        <v>-0.05</v>
      </c>
      <c r="G8" s="68">
        <v>0.05</v>
      </c>
      <c r="H8" s="41">
        <f t="shared" ref="H8:H12" si="0">E8+(F8*E8)</f>
        <v>2.85</v>
      </c>
      <c r="I8" s="34">
        <f t="shared" ref="I8:I12" si="1">E8+(G8*E8)</f>
        <v>3.15</v>
      </c>
      <c r="J8" s="34">
        <f>'Uncertainty Analysis'!$E$10-($E8*$E11)+(H8*$E11)</f>
        <v>-812.36740428459007</v>
      </c>
      <c r="K8" s="34">
        <f>'Uncertainty Analysis'!$E$10-($E8*$E11)+(I8*$E11)</f>
        <v>-811.27988478429006</v>
      </c>
      <c r="L8" s="218">
        <f>J8/('Uncertainty Analysis'!$E$10)-1</f>
        <v>6.6980033633012859E-4</v>
      </c>
      <c r="M8" s="218">
        <f>K8/('Uncertainty Analysis'!$E$10)-1</f>
        <v>-6.6980033633023961E-4</v>
      </c>
      <c r="N8" s="35" t="str">
        <f t="shared" ref="N8:N12" si="2">D8&amp;" "&amp;B8&amp;" +"&amp;TEXT(G8,"0%")&amp;"/"&amp;TEXT(F8,"0%")</f>
        <v>Electric Mass Flow Controller  activity data +5%/-5%</v>
      </c>
    </row>
    <row r="9" spans="2:15">
      <c r="B9" s="23" t="s">
        <v>242</v>
      </c>
      <c r="C9" s="23" t="str">
        <f>'Uncertainty Analysis'!C30</f>
        <v xml:space="preserve">2nd order </v>
      </c>
      <c r="D9" s="23" t="str">
        <f>'Uncertainty Analysis'!D30</f>
        <v>Fertiliser</v>
      </c>
      <c r="E9" s="33">
        <f>'Uncertainty Analysis'!P30</f>
        <v>8644.8004795101751</v>
      </c>
      <c r="F9" s="68">
        <v>-0.05</v>
      </c>
      <c r="G9" s="68">
        <v>0.05</v>
      </c>
      <c r="H9" s="41">
        <f t="shared" si="0"/>
        <v>8212.5604555346672</v>
      </c>
      <c r="I9" s="34">
        <f t="shared" si="1"/>
        <v>9077.0405034856831</v>
      </c>
      <c r="J9" s="34">
        <f>'Uncertainty Analysis'!$E$10-($E9*$E12)+(H9*$E12)</f>
        <v>-770.66623855756814</v>
      </c>
      <c r="K9" s="34">
        <f>'Uncertainty Analysis'!$E$10-($E9*$E12)+(I9*$E12)</f>
        <v>-852.98105051131199</v>
      </c>
      <c r="L9" s="218">
        <f>J9/('Uncertainty Analysis'!$E$10)-1</f>
        <v>-5.0697471370736769E-2</v>
      </c>
      <c r="M9" s="218">
        <f>K9/('Uncertainty Analysis'!$E$10)-1</f>
        <v>5.0697471370736658E-2</v>
      </c>
      <c r="N9" s="35" t="str">
        <f t="shared" si="2"/>
        <v>Fertiliser activity data +5%/-5%</v>
      </c>
    </row>
    <row r="10" spans="2:15">
      <c r="B10" s="23" t="s">
        <v>243</v>
      </c>
      <c r="C10" s="23" t="str">
        <f>'Uncertainty Analysis'!C31</f>
        <v xml:space="preserve">1st order </v>
      </c>
      <c r="D10" s="23" t="str">
        <f>'Uncertainty Analysis'!D31</f>
        <v>Monitor</v>
      </c>
      <c r="E10" s="33">
        <f>'Uncertainty Analysis'!P31</f>
        <v>0.44928000000000001</v>
      </c>
      <c r="F10" s="68">
        <v>-0.05</v>
      </c>
      <c r="G10" s="68">
        <v>0.05</v>
      </c>
      <c r="H10" s="41">
        <f t="shared" si="0"/>
        <v>0.42681600000000003</v>
      </c>
      <c r="I10" s="34">
        <f t="shared" si="1"/>
        <v>0.471744</v>
      </c>
      <c r="J10" s="34">
        <f>'Uncertainty Analysis'!$E$10-($E10*$E7)+(H10*$E7)</f>
        <v>-811.84610853444008</v>
      </c>
      <c r="K10" s="34">
        <f>'Uncertainty Analysis'!$E$10-($E10*$E7)+(I10*$E7)</f>
        <v>-811.80118053444016</v>
      </c>
      <c r="L10" s="218">
        <f>J10/('Uncertainty Analysis'!$E$10)-1</f>
        <v>2.7671034406706596E-5</v>
      </c>
      <c r="M10" s="218">
        <f>K10/('Uncertainty Analysis'!$E$10)-1</f>
        <v>-2.7671034406484551E-5</v>
      </c>
      <c r="N10" s="35" t="str">
        <f t="shared" si="2"/>
        <v>Monitor emission factor +5%/-5%</v>
      </c>
    </row>
    <row r="11" spans="2:15">
      <c r="B11" s="23" t="s">
        <v>243</v>
      </c>
      <c r="C11" s="23" t="str">
        <f>'Uncertainty Analysis'!C32</f>
        <v xml:space="preserve">1st order </v>
      </c>
      <c r="D11" s="23" t="str">
        <f>'Uncertainty Analysis'!D32</f>
        <v xml:space="preserve">Electric Mass Flow Controller </v>
      </c>
      <c r="E11" s="33">
        <f>'Uncertainty Analysis'!P32</f>
        <v>3.6250650010000007</v>
      </c>
      <c r="F11" s="68">
        <v>-0.05</v>
      </c>
      <c r="G11" s="68">
        <v>0.05</v>
      </c>
      <c r="H11" s="41">
        <f t="shared" si="0"/>
        <v>3.4438117509500006</v>
      </c>
      <c r="I11" s="34">
        <f t="shared" si="1"/>
        <v>3.8063182510500009</v>
      </c>
      <c r="J11" s="34">
        <f>'Uncertainty Analysis'!$E$10-($E11*$E8)+(H11*$E8)</f>
        <v>-812.36740428459007</v>
      </c>
      <c r="K11" s="34">
        <f>'Uncertainty Analysis'!$E$10-($E11*$E8)+(I11*$E8)</f>
        <v>-811.27988478429006</v>
      </c>
      <c r="L11" s="218">
        <f>J11/('Uncertainty Analysis'!$E$10)-1</f>
        <v>6.6980033633012859E-4</v>
      </c>
      <c r="M11" s="218">
        <f>K11/('Uncertainty Analysis'!$E$10)-1</f>
        <v>-6.6980033633023961E-4</v>
      </c>
      <c r="N11" s="35" t="str">
        <f t="shared" si="2"/>
        <v>Electric Mass Flow Controller  emission factor +5%/-5%</v>
      </c>
    </row>
    <row r="12" spans="2:15">
      <c r="B12" s="23" t="s">
        <v>243</v>
      </c>
      <c r="C12" s="23" t="str">
        <f>'Uncertainty Analysis'!C33</f>
        <v xml:space="preserve">2nd order </v>
      </c>
      <c r="D12" s="23" t="str">
        <f>'Uncertainty Analysis'!D33</f>
        <v>Fertiliser</v>
      </c>
      <c r="E12" s="33">
        <f>'Uncertainty Analysis'!P33</f>
        <v>-9.5218868438717352E-2</v>
      </c>
      <c r="F12" s="68">
        <v>-0.05</v>
      </c>
      <c r="G12" s="68">
        <v>0.05</v>
      </c>
      <c r="H12" s="41">
        <f t="shared" si="0"/>
        <v>-9.0457925016781487E-2</v>
      </c>
      <c r="I12" s="34">
        <f t="shared" si="1"/>
        <v>-9.9979811860653217E-2</v>
      </c>
      <c r="J12" s="34">
        <f>'Uncertainty Analysis'!$E$10-($E12*$E9)+(H12*$E9)</f>
        <v>-770.66623855756814</v>
      </c>
      <c r="K12" s="34">
        <f>'Uncertainty Analysis'!$E$10-($E12*$E9)+(I12*$E9)</f>
        <v>-852.98105051131211</v>
      </c>
      <c r="L12" s="218">
        <f>J12/('Uncertainty Analysis'!$E$10)-1</f>
        <v>-5.0697471370736769E-2</v>
      </c>
      <c r="M12" s="218">
        <f>K12/('Uncertainty Analysis'!$E$10)-1</f>
        <v>5.069747137073688E-2</v>
      </c>
      <c r="N12" s="35" t="str">
        <f t="shared" si="2"/>
        <v>Fertiliser emission factor +5%/-5%</v>
      </c>
    </row>
    <row r="13" spans="2:15">
      <c r="B13" s="217" t="str">
        <f>'Uncertainty Analysis'!B12</f>
        <v>Winter Wheat</v>
      </c>
      <c r="C13" s="209"/>
      <c r="D13" s="210"/>
      <c r="E13" s="211"/>
      <c r="F13" s="211"/>
      <c r="G13" s="211"/>
      <c r="H13" s="211"/>
      <c r="I13" s="211"/>
      <c r="J13" s="211"/>
      <c r="K13" s="211"/>
      <c r="L13" s="211"/>
      <c r="M13" s="211"/>
      <c r="N13" s="211"/>
    </row>
    <row r="14" spans="2:15">
      <c r="B14" s="23" t="s">
        <v>242</v>
      </c>
      <c r="C14" s="23" t="str">
        <f>'Uncertainty Analysis'!C35</f>
        <v xml:space="preserve">1st order </v>
      </c>
      <c r="D14" s="23" t="str">
        <f>'Uncertainty Analysis'!D35</f>
        <v>Monitor</v>
      </c>
      <c r="E14" s="33">
        <f>'Uncertainty Analysis'!P35</f>
        <v>1</v>
      </c>
      <c r="F14" s="68">
        <v>-0.05</v>
      </c>
      <c r="G14" s="68">
        <v>0.05</v>
      </c>
      <c r="H14" s="41">
        <f>E14+(F14*E14)</f>
        <v>0.95</v>
      </c>
      <c r="I14" s="34">
        <f>E14+(G14*E14)</f>
        <v>1.05</v>
      </c>
      <c r="J14" s="34">
        <f>'Uncertainty Analysis'!$E$16-($E14*$E17)+(H14*$E17)</f>
        <v>-3699.4874556728082</v>
      </c>
      <c r="K14" s="34">
        <f>'Uncertainty Analysis'!$E$16-($E14*$E17)+(I14*$E17)</f>
        <v>-3699.4425276728084</v>
      </c>
      <c r="L14" s="218">
        <f>J14/('Uncertainty Analysis'!$E$16)-1</f>
        <v>6.0722293764303714E-6</v>
      </c>
      <c r="M14" s="218">
        <f>K14/('Uncertainty Analysis'!$E$16)-1</f>
        <v>-6.0722293765413937E-6</v>
      </c>
      <c r="N14" s="35" t="str">
        <f>D14&amp;" "&amp;B14&amp;" +"&amp;TEXT(G14,"0%")&amp;"/"&amp;TEXT(F14,"0%")</f>
        <v>Monitor activity data +5%/-5%</v>
      </c>
      <c r="O14" s="36"/>
    </row>
    <row r="15" spans="2:15">
      <c r="B15" s="23" t="s">
        <v>242</v>
      </c>
      <c r="C15" s="23" t="str">
        <f>'Uncertainty Analysis'!C36</f>
        <v xml:space="preserve">1st order </v>
      </c>
      <c r="D15" s="23" t="str">
        <f>'Uncertainty Analysis'!D36</f>
        <v xml:space="preserve">Electric Mass Flow Controller </v>
      </c>
      <c r="E15" s="33">
        <f>'Uncertainty Analysis'!P36</f>
        <v>3</v>
      </c>
      <c r="F15" s="68">
        <v>-0.05</v>
      </c>
      <c r="G15" s="68">
        <v>0.05</v>
      </c>
      <c r="H15" s="41">
        <f t="shared" ref="H15:H19" si="3">E15+(F15*E15)</f>
        <v>2.85</v>
      </c>
      <c r="I15" s="34">
        <f t="shared" ref="I15:I19" si="4">E15+(G15*E15)</f>
        <v>3.15</v>
      </c>
      <c r="J15" s="34">
        <f>'Uncertainty Analysis'!$E$16-($E15*$E18)+(H15*$E18)</f>
        <v>-3700.0103582229585</v>
      </c>
      <c r="K15" s="34">
        <f>'Uncertainty Analysis'!$E$16-($E15*$E18)+(I15*$E18)</f>
        <v>-3698.9196251226585</v>
      </c>
      <c r="L15" s="218">
        <f>J15/('Uncertainty Analysis'!$E$16)-1</f>
        <v>1.474176810369876E-4</v>
      </c>
      <c r="M15" s="218">
        <f>K15/('Uncertainty Analysis'!$E$16)-1</f>
        <v>-1.474176810369876E-4</v>
      </c>
      <c r="N15" s="35" t="str">
        <f t="shared" ref="N15:N19" si="5">D15&amp;" "&amp;B15&amp;" +"&amp;TEXT(G15,"0%")&amp;"/"&amp;TEXT(F15,"0%")</f>
        <v>Electric Mass Flow Controller  activity data +5%/-5%</v>
      </c>
    </row>
    <row r="16" spans="2:15">
      <c r="B16" s="23" t="s">
        <v>242</v>
      </c>
      <c r="C16" s="23" t="str">
        <f>'Uncertainty Analysis'!C37</f>
        <v xml:space="preserve">2nd order </v>
      </c>
      <c r="D16" s="23" t="str">
        <f>'Uncertainty Analysis'!D37</f>
        <v>Fertiliser</v>
      </c>
      <c r="E16" s="33">
        <f>'Uncertainty Analysis'!P37</f>
        <v>29895.641699273474</v>
      </c>
      <c r="F16" s="68">
        <v>-0.05</v>
      </c>
      <c r="G16" s="68">
        <v>0.05</v>
      </c>
      <c r="H16" s="41">
        <f t="shared" si="3"/>
        <v>28400.8596143098</v>
      </c>
      <c r="I16" s="34">
        <f t="shared" si="4"/>
        <v>31390.423784237148</v>
      </c>
      <c r="J16" s="34">
        <f>'Uncertainty Analysis'!$E$16-($E16*$E19)+(H16*$E19)</f>
        <v>-3513.9239115390183</v>
      </c>
      <c r="K16" s="34">
        <f>'Uncertainty Analysis'!$E$16-($E16*$E19)+(I16*$E19)</f>
        <v>-3885.0060718065993</v>
      </c>
      <c r="L16" s="218">
        <f>J16/('Uncertainty Analysis'!$E$16)-1</f>
        <v>-5.0153489910413573E-2</v>
      </c>
      <c r="M16" s="218">
        <f>K16/('Uncertainty Analysis'!$E$16)-1</f>
        <v>5.0153489910413684E-2</v>
      </c>
      <c r="N16" s="35" t="str">
        <f t="shared" si="5"/>
        <v>Fertiliser activity data +5%/-5%</v>
      </c>
    </row>
    <row r="17" spans="2:15">
      <c r="B17" s="23" t="s">
        <v>243</v>
      </c>
      <c r="C17" s="23" t="str">
        <f>'Uncertainty Analysis'!C38</f>
        <v xml:space="preserve">1st order </v>
      </c>
      <c r="D17" s="23" t="str">
        <f>'Uncertainty Analysis'!D38</f>
        <v>Monitor</v>
      </c>
      <c r="E17" s="33">
        <f>'Uncertainty Analysis'!P38</f>
        <v>0.44928000000000001</v>
      </c>
      <c r="F17" s="68">
        <v>-0.05</v>
      </c>
      <c r="G17" s="68">
        <v>0.05</v>
      </c>
      <c r="H17" s="41">
        <f t="shared" si="3"/>
        <v>0.42681600000000003</v>
      </c>
      <c r="I17" s="34">
        <f t="shared" si="4"/>
        <v>0.471744</v>
      </c>
      <c r="J17" s="34">
        <f>'Uncertainty Analysis'!$E$16-($E17*$E14)+(H17*$E14)</f>
        <v>-3699.4874556728082</v>
      </c>
      <c r="K17" s="34">
        <f>'Uncertainty Analysis'!$E$16-($E17*$E14)+(I17*$E14)</f>
        <v>-3699.4425276728084</v>
      </c>
      <c r="L17" s="218">
        <f>J17/('Uncertainty Analysis'!$E$16)-1</f>
        <v>6.0722293764303714E-6</v>
      </c>
      <c r="M17" s="218">
        <f>K17/('Uncertainty Analysis'!$E$16)-1</f>
        <v>-6.0722293765413937E-6</v>
      </c>
      <c r="N17" s="35" t="str">
        <f t="shared" si="5"/>
        <v>Monitor emission factor +5%/-5%</v>
      </c>
    </row>
    <row r="18" spans="2:15">
      <c r="B18" s="23" t="s">
        <v>243</v>
      </c>
      <c r="C18" s="23" t="str">
        <f>'Uncertainty Analysis'!C39</f>
        <v xml:space="preserve">1st order </v>
      </c>
      <c r="D18" s="23" t="str">
        <f>'Uncertainty Analysis'!D39</f>
        <v xml:space="preserve">Electric Mass Flow Controller </v>
      </c>
      <c r="E18" s="33">
        <f>'Uncertainty Analysis'!P39</f>
        <v>3.635777001000001</v>
      </c>
      <c r="F18" s="68">
        <v>-0.05</v>
      </c>
      <c r="G18" s="68">
        <v>0.05</v>
      </c>
      <c r="H18" s="41">
        <f t="shared" si="3"/>
        <v>3.4539881509500008</v>
      </c>
      <c r="I18" s="34">
        <f t="shared" si="4"/>
        <v>3.8175658510500012</v>
      </c>
      <c r="J18" s="34">
        <f>'Uncertainty Analysis'!$E$16-($E18*$E15)+(H18*$E15)</f>
        <v>-3700.0103582229585</v>
      </c>
      <c r="K18" s="34">
        <f>'Uncertainty Analysis'!$E$16-($E18*$E15)+(I18*$E15)</f>
        <v>-3698.9196251226585</v>
      </c>
      <c r="L18" s="218">
        <f>J18/('Uncertainty Analysis'!$E$16)-1</f>
        <v>1.474176810369876E-4</v>
      </c>
      <c r="M18" s="218">
        <f>K18/('Uncertainty Analysis'!$E$16)-1</f>
        <v>-1.474176810369876E-4</v>
      </c>
      <c r="N18" s="35" t="str">
        <f t="shared" si="5"/>
        <v>Electric Mass Flow Controller  emission factor +5%/-5%</v>
      </c>
    </row>
    <row r="19" spans="2:15">
      <c r="B19" s="23" t="s">
        <v>243</v>
      </c>
      <c r="C19" s="23" t="str">
        <f>'Uncertainty Analysis'!C40</f>
        <v xml:space="preserve">2nd order </v>
      </c>
      <c r="D19" s="23" t="str">
        <f>'Uncertainty Analysis'!D40</f>
        <v>Fertiliser</v>
      </c>
      <c r="E19" s="33">
        <f>'Uncertainty Analysis'!P40</f>
        <v>-0.1241258388096747</v>
      </c>
      <c r="F19" s="68">
        <v>-0.05</v>
      </c>
      <c r="G19" s="68">
        <v>0.05</v>
      </c>
      <c r="H19" s="41">
        <f t="shared" si="3"/>
        <v>-0.11791954686919097</v>
      </c>
      <c r="I19" s="34">
        <f t="shared" si="4"/>
        <v>-0.13033213075015843</v>
      </c>
      <c r="J19" s="34">
        <f>'Uncertainty Analysis'!$E$16-($E19*$E16)+(H19*$E16)</f>
        <v>-3513.9239115390183</v>
      </c>
      <c r="K19" s="34">
        <f>'Uncertainty Analysis'!$E$16-($E19*$E16)+(I19*$E16)</f>
        <v>-3885.0060718065988</v>
      </c>
      <c r="L19" s="218">
        <f>J19/('Uncertainty Analysis'!$E$16)-1</f>
        <v>-5.0153489910413573E-2</v>
      </c>
      <c r="M19" s="218">
        <f>K19/('Uncertainty Analysis'!$E$16)-1</f>
        <v>5.0153489910413462E-2</v>
      </c>
      <c r="N19" s="35" t="str">
        <f t="shared" si="5"/>
        <v>Fertiliser emission factor +5%/-5%</v>
      </c>
    </row>
    <row r="20" spans="2:15">
      <c r="B20" s="217" t="str">
        <f>'Uncertainty Analysis'!B18</f>
        <v>Spring Wheat</v>
      </c>
      <c r="C20" s="209"/>
      <c r="D20" s="210"/>
      <c r="E20" s="211"/>
      <c r="F20" s="211"/>
      <c r="G20" s="211"/>
      <c r="H20" s="211"/>
      <c r="I20" s="211"/>
      <c r="J20" s="211"/>
      <c r="K20" s="211"/>
      <c r="L20" s="211"/>
      <c r="M20" s="211"/>
      <c r="N20" s="211"/>
    </row>
    <row r="21" spans="2:15">
      <c r="B21" s="23" t="s">
        <v>242</v>
      </c>
      <c r="C21" s="23" t="str">
        <f>'Uncertainty Analysis'!C42</f>
        <v xml:space="preserve">1st order </v>
      </c>
      <c r="D21" s="23" t="str">
        <f>'Uncertainty Analysis'!D42</f>
        <v>Monitor</v>
      </c>
      <c r="E21" s="33">
        <f>'Uncertainty Analysis'!P42</f>
        <v>1</v>
      </c>
      <c r="F21" s="68">
        <v>-0.05</v>
      </c>
      <c r="G21" s="68">
        <v>0.05</v>
      </c>
      <c r="H21" s="41">
        <f>E21+(F21*E21)</f>
        <v>0.95</v>
      </c>
      <c r="I21" s="34">
        <f>E21+(G21*E21)</f>
        <v>1.05</v>
      </c>
      <c r="J21" s="34">
        <f>'Uncertainty Analysis'!$E$22-($E21*$E24)+(H21*$E24)</f>
        <v>-735.5982371599564</v>
      </c>
      <c r="K21" s="34">
        <f>'Uncertainty Analysis'!$E$22-($E21*$E24)+(I21*$E24)</f>
        <v>-735.55330915995648</v>
      </c>
      <c r="L21" s="218">
        <f>J21/('Uncertainty Analysis'!$E$22)-1</f>
        <v>3.0539341859370239E-5</v>
      </c>
      <c r="M21" s="218">
        <f>K21/('Uncertainty Analysis'!$E$22)-1</f>
        <v>-3.0539341859259217E-5</v>
      </c>
      <c r="N21" s="35" t="str">
        <f>D21&amp;" "&amp;B21&amp;" +"&amp;TEXT(G21,"0%")&amp;"/"&amp;TEXT(F21,"0%")</f>
        <v>Monitor activity data +5%/-5%</v>
      </c>
      <c r="O21" s="36"/>
    </row>
    <row r="22" spans="2:15">
      <c r="B22" s="23" t="s">
        <v>242</v>
      </c>
      <c r="C22" s="23" t="str">
        <f>'Uncertainty Analysis'!C43</f>
        <v xml:space="preserve">1st order </v>
      </c>
      <c r="D22" s="23" t="str">
        <f>'Uncertainty Analysis'!D43</f>
        <v xml:space="preserve">Electric Mass Flow Controller </v>
      </c>
      <c r="E22" s="33">
        <f>'Uncertainty Analysis'!P43</f>
        <v>3</v>
      </c>
      <c r="F22" s="68">
        <v>-0.05</v>
      </c>
      <c r="G22" s="68">
        <v>0.05</v>
      </c>
      <c r="H22" s="41">
        <f t="shared" ref="H22:H26" si="6">E22+(F22*E22)</f>
        <v>2.85</v>
      </c>
      <c r="I22" s="34">
        <f t="shared" ref="I22:I26" si="7">E22+(G22*E22)</f>
        <v>3.15</v>
      </c>
      <c r="J22" s="34">
        <f>'Uncertainty Analysis'!$E$22-($E22*$E25)+(H22*$E25)</f>
        <v>-736.11997751010642</v>
      </c>
      <c r="K22" s="34">
        <f>'Uncertainty Analysis'!$E$22-($E22*$E25)+(I22*$E25)</f>
        <v>-735.03156880980634</v>
      </c>
      <c r="L22" s="218">
        <f>J22/('Uncertainty Analysis'!$E$22)-1</f>
        <v>7.3983452148262963E-4</v>
      </c>
      <c r="M22" s="218">
        <f>K22/('Uncertainty Analysis'!$E$22)-1</f>
        <v>-7.3983452148262963E-4</v>
      </c>
      <c r="N22" s="35" t="str">
        <f t="shared" ref="N22:N26" si="8">D22&amp;" "&amp;B22&amp;" +"&amp;TEXT(G22,"0%")&amp;"/"&amp;TEXT(F22,"0%")</f>
        <v>Electric Mass Flow Controller  activity data +5%/-5%</v>
      </c>
    </row>
    <row r="23" spans="2:15">
      <c r="B23" s="23" t="s">
        <v>242</v>
      </c>
      <c r="C23" s="23" t="str">
        <f>'Uncertainty Analysis'!C44</f>
        <v xml:space="preserve">2nd order </v>
      </c>
      <c r="D23" s="23" t="str">
        <f>'Uncertainty Analysis'!D44</f>
        <v>Fertiliser</v>
      </c>
      <c r="E23" s="33">
        <f>'Uncertainty Analysis'!P44</f>
        <v>10532.450526315788</v>
      </c>
      <c r="F23" s="68">
        <v>-0.05</v>
      </c>
      <c r="G23" s="68">
        <v>0.05</v>
      </c>
      <c r="H23" s="41">
        <f t="shared" si="6"/>
        <v>10005.827999999998</v>
      </c>
      <c r="I23" s="34">
        <f t="shared" si="7"/>
        <v>11059.073052631578</v>
      </c>
      <c r="J23" s="34">
        <f>'Uncertainty Analysis'!$E$22-($E23*$E26)+(H23*$E26)</f>
        <v>-698.23031615180855</v>
      </c>
      <c r="K23" s="34">
        <f>'Uncertainty Analysis'!$E$22-($E23*$E26)+(I23*$E26)</f>
        <v>-772.92123016810433</v>
      </c>
      <c r="L23" s="218">
        <f>J23/('Uncertainty Analysis'!$E$22)-1</f>
        <v>-5.0770373863342044E-2</v>
      </c>
      <c r="M23" s="218">
        <f>K23/('Uncertainty Analysis'!$E$22)-1</f>
        <v>5.0770373863342044E-2</v>
      </c>
      <c r="N23" s="35" t="str">
        <f t="shared" si="8"/>
        <v>Fertiliser activity data +5%/-5%</v>
      </c>
    </row>
    <row r="24" spans="2:15">
      <c r="B24" s="23" t="s">
        <v>243</v>
      </c>
      <c r="C24" s="23" t="str">
        <f>'Uncertainty Analysis'!C45</f>
        <v xml:space="preserve">1st order </v>
      </c>
      <c r="D24" s="23" t="str">
        <f>'Uncertainty Analysis'!D45</f>
        <v>Monitor</v>
      </c>
      <c r="E24" s="33">
        <f>'Uncertainty Analysis'!P45</f>
        <v>0.44928000000000001</v>
      </c>
      <c r="F24" s="68">
        <v>-0.05</v>
      </c>
      <c r="G24" s="68">
        <v>0.05</v>
      </c>
      <c r="H24" s="41">
        <f t="shared" si="6"/>
        <v>0.42681600000000003</v>
      </c>
      <c r="I24" s="34">
        <f t="shared" si="7"/>
        <v>0.471744</v>
      </c>
      <c r="J24" s="34">
        <f>'Uncertainty Analysis'!$E$22-($E24*$E21)+(H24*$E21)</f>
        <v>-735.5982371599564</v>
      </c>
      <c r="K24" s="34">
        <f>'Uncertainty Analysis'!$E$22-($E24*$E21)+(I24*$E21)</f>
        <v>-735.55330915995648</v>
      </c>
      <c r="L24" s="218">
        <f>J24/('Uncertainty Analysis'!$E$22)-1</f>
        <v>3.0539341859370239E-5</v>
      </c>
      <c r="M24" s="218">
        <f>K24/('Uncertainty Analysis'!$E$22)-1</f>
        <v>-3.0539341859259217E-5</v>
      </c>
      <c r="N24" s="35" t="str">
        <f t="shared" si="8"/>
        <v>Monitor emission factor +5%/-5%</v>
      </c>
    </row>
    <row r="25" spans="2:15">
      <c r="B25" s="23" t="s">
        <v>243</v>
      </c>
      <c r="C25" s="23" t="str">
        <f>'Uncertainty Analysis'!C46</f>
        <v xml:space="preserve">1st order </v>
      </c>
      <c r="D25" s="23" t="str">
        <f>'Uncertainty Analysis'!D46</f>
        <v xml:space="preserve">Electric Mass Flow Controller </v>
      </c>
      <c r="E25" s="33">
        <f>'Uncertainty Analysis'!P46</f>
        <v>3.6280290010000011</v>
      </c>
      <c r="F25" s="68">
        <v>-0.05</v>
      </c>
      <c r="G25" s="68">
        <v>0.05</v>
      </c>
      <c r="H25" s="41">
        <f t="shared" si="6"/>
        <v>3.4466275509500011</v>
      </c>
      <c r="I25" s="34">
        <f t="shared" si="7"/>
        <v>3.8094304510500012</v>
      </c>
      <c r="J25" s="34">
        <f>'Uncertainty Analysis'!$E$22-($E25*$E22)+(H25*$E22)</f>
        <v>-736.11997751010642</v>
      </c>
      <c r="K25" s="34">
        <f>'Uncertainty Analysis'!$E$22-($E25*$E22)+(I25*$E22)</f>
        <v>-735.03156880980634</v>
      </c>
      <c r="L25" s="218">
        <f>J25/('Uncertainty Analysis'!$E$22)-1</f>
        <v>7.3983452148262963E-4</v>
      </c>
      <c r="M25" s="218">
        <f>K25/('Uncertainty Analysis'!$E$22)-1</f>
        <v>-7.3983452148262963E-4</v>
      </c>
      <c r="N25" s="35" t="str">
        <f t="shared" si="8"/>
        <v>Electric Mass Flow Controller  emission factor +5%/-5%</v>
      </c>
    </row>
    <row r="26" spans="2:15">
      <c r="B26" s="23" t="s">
        <v>243</v>
      </c>
      <c r="C26" s="23" t="str">
        <f>'Uncertainty Analysis'!C47</f>
        <v xml:space="preserve">2nd order </v>
      </c>
      <c r="D26" s="23" t="str">
        <f>'Uncertainty Analysis'!D47</f>
        <v>Fertiliser</v>
      </c>
      <c r="E26" s="33">
        <f>'Uncertainty Analysis'!P47</f>
        <v>-7.0915039030733762E-2</v>
      </c>
      <c r="F26" s="68">
        <v>-0.05</v>
      </c>
      <c r="G26" s="68">
        <v>0.05</v>
      </c>
      <c r="H26" s="41">
        <f t="shared" si="6"/>
        <v>-6.7369287079197079E-2</v>
      </c>
      <c r="I26" s="34">
        <f t="shared" si="7"/>
        <v>-7.4460790982270444E-2</v>
      </c>
      <c r="J26" s="34">
        <f>'Uncertainty Analysis'!$E$22-($E26*$E23)+(H26*$E23)</f>
        <v>-698.23031615180867</v>
      </c>
      <c r="K26" s="34">
        <f>'Uncertainty Analysis'!$E$22-($E26*$E23)+(I26*$E23)</f>
        <v>-772.92123016810422</v>
      </c>
      <c r="L26" s="218">
        <f>J26/('Uncertainty Analysis'!$E$22)-1</f>
        <v>-5.0770373863341822E-2</v>
      </c>
      <c r="M26" s="218">
        <f>K26/('Uncertainty Analysis'!$E$22)-1</f>
        <v>5.0770373863342044E-2</v>
      </c>
      <c r="N26" s="35" t="str">
        <f t="shared" si="8"/>
        <v>Fertiliser emission factor +5%/-5%</v>
      </c>
    </row>
    <row r="27" spans="2:15">
      <c r="E27" s="89"/>
      <c r="F27" s="96"/>
      <c r="G27" s="96"/>
      <c r="H27" s="90"/>
      <c r="I27" s="91"/>
      <c r="J27" s="91"/>
      <c r="K27" s="91"/>
      <c r="L27" s="92"/>
      <c r="M27" s="92"/>
      <c r="N27" s="93"/>
    </row>
    <row r="28" spans="2:15" ht="21">
      <c r="D28" s="219" t="s">
        <v>28</v>
      </c>
      <c r="J28" s="219" t="s">
        <v>29</v>
      </c>
    </row>
    <row r="40" spans="6:6" ht="21">
      <c r="F40" s="219" t="s">
        <v>41</v>
      </c>
    </row>
  </sheetData>
  <phoneticPr fontId="7"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865E-8C37-44C0-A49A-83F8D3F5A16C}">
  <sheetPr codeName="Sheet7">
    <tabColor rgb="FF183C73"/>
  </sheetPr>
  <dimension ref="A2:I63"/>
  <sheetViews>
    <sheetView showGridLines="0" workbookViewId="0"/>
  </sheetViews>
  <sheetFormatPr defaultRowHeight="19.5"/>
  <cols>
    <col min="1" max="1" width="14.375" style="2" customWidth="1"/>
    <col min="2" max="2" width="39.25" style="2" customWidth="1"/>
    <col min="3" max="3" width="56.375" style="2" customWidth="1"/>
    <col min="4" max="4" width="43.625" style="2" customWidth="1"/>
    <col min="5" max="5" width="20" style="2" customWidth="1"/>
    <col min="6" max="6" width="13.125" style="2" customWidth="1"/>
    <col min="7" max="7" width="38.125" style="2" customWidth="1"/>
    <col min="8" max="8" width="20.625" style="2" customWidth="1"/>
    <col min="9" max="9" width="12.875" customWidth="1"/>
  </cols>
  <sheetData>
    <row r="2" spans="2:9">
      <c r="B2" s="56" t="s">
        <v>244</v>
      </c>
    </row>
    <row r="3" spans="2:9">
      <c r="B3" s="57" t="s">
        <v>245</v>
      </c>
      <c r="I3" s="2"/>
    </row>
    <row r="4" spans="2:9">
      <c r="B4" s="58" t="s">
        <v>53</v>
      </c>
    </row>
    <row r="5" spans="2:9" ht="58.5" customHeight="1">
      <c r="B5" s="243" t="s">
        <v>246</v>
      </c>
      <c r="C5" s="244"/>
      <c r="D5" s="244"/>
      <c r="E5" s="244"/>
      <c r="F5" s="244"/>
    </row>
    <row r="6" spans="2:9">
      <c r="B6" s="102" t="s">
        <v>247</v>
      </c>
      <c r="C6" s="102" t="s">
        <v>248</v>
      </c>
      <c r="D6" s="102" t="s">
        <v>249</v>
      </c>
      <c r="E6" s="102" t="s">
        <v>56</v>
      </c>
      <c r="F6" s="102" t="s">
        <v>55</v>
      </c>
    </row>
    <row r="7" spans="2:9">
      <c r="B7" s="23" t="s">
        <v>250</v>
      </c>
      <c r="C7" s="23" t="s">
        <v>28</v>
      </c>
      <c r="D7" s="74" t="s">
        <v>74</v>
      </c>
      <c r="E7" s="69">
        <v>5866.0245090773196</v>
      </c>
      <c r="F7" s="133" t="s">
        <v>79</v>
      </c>
    </row>
    <row r="8" spans="2:9">
      <c r="B8" s="23" t="s">
        <v>250</v>
      </c>
      <c r="C8" s="23" t="s">
        <v>28</v>
      </c>
      <c r="D8" s="74" t="s">
        <v>76</v>
      </c>
      <c r="E8" s="69">
        <v>75</v>
      </c>
      <c r="F8" s="133" t="s">
        <v>79</v>
      </c>
    </row>
    <row r="9" spans="2:9">
      <c r="B9" s="23" t="s">
        <v>250</v>
      </c>
      <c r="C9" s="23" t="s">
        <v>28</v>
      </c>
      <c r="D9" s="134" t="s">
        <v>251</v>
      </c>
      <c r="E9" s="69">
        <v>84</v>
      </c>
      <c r="F9" s="133" t="s">
        <v>79</v>
      </c>
    </row>
    <row r="10" spans="2:9">
      <c r="B10" s="23" t="s">
        <v>250</v>
      </c>
      <c r="C10" s="23" t="s">
        <v>28</v>
      </c>
      <c r="D10" s="134" t="s">
        <v>78</v>
      </c>
      <c r="E10" s="69">
        <v>92</v>
      </c>
      <c r="F10" s="133" t="s">
        <v>79</v>
      </c>
    </row>
    <row r="11" spans="2:9">
      <c r="B11" s="23" t="s">
        <v>250</v>
      </c>
      <c r="C11" s="23" t="s">
        <v>28</v>
      </c>
      <c r="D11" s="74" t="s">
        <v>76</v>
      </c>
      <c r="E11" s="71">
        <f>E8*$E$14</f>
        <v>112.5</v>
      </c>
      <c r="F11" s="135" t="s">
        <v>252</v>
      </c>
    </row>
    <row r="12" spans="2:9">
      <c r="B12" s="23" t="s">
        <v>250</v>
      </c>
      <c r="C12" s="23" t="s">
        <v>28</v>
      </c>
      <c r="D12" s="134" t="s">
        <v>251</v>
      </c>
      <c r="E12" s="71">
        <f>E9*$E$14</f>
        <v>126</v>
      </c>
      <c r="F12" s="135" t="s">
        <v>252</v>
      </c>
    </row>
    <row r="13" spans="2:9">
      <c r="B13" s="23" t="s">
        <v>250</v>
      </c>
      <c r="C13" s="23" t="s">
        <v>28</v>
      </c>
      <c r="D13" s="134" t="s">
        <v>78</v>
      </c>
      <c r="E13" s="71">
        <f>E10*$E$14</f>
        <v>138</v>
      </c>
      <c r="F13" s="135" t="s">
        <v>252</v>
      </c>
    </row>
    <row r="14" spans="2:9" ht="20.25" thickBot="1">
      <c r="B14" s="101" t="s">
        <v>250</v>
      </c>
      <c r="C14" s="101" t="s">
        <v>28</v>
      </c>
      <c r="D14" s="105" t="s">
        <v>83</v>
      </c>
      <c r="E14" s="72">
        <v>1.5</v>
      </c>
      <c r="F14" s="136" t="s">
        <v>253</v>
      </c>
    </row>
    <row r="15" spans="2:9" ht="20.25" thickTop="1">
      <c r="B15" s="98" t="s">
        <v>254</v>
      </c>
      <c r="C15" s="98" t="s">
        <v>28</v>
      </c>
      <c r="D15" s="106" t="s">
        <v>74</v>
      </c>
      <c r="E15" s="70">
        <v>7204.0003995918132</v>
      </c>
      <c r="F15" s="137" t="s">
        <v>79</v>
      </c>
    </row>
    <row r="16" spans="2:9">
      <c r="B16" s="23" t="s">
        <v>254</v>
      </c>
      <c r="C16" s="23" t="s">
        <v>28</v>
      </c>
      <c r="D16" s="74" t="s">
        <v>76</v>
      </c>
      <c r="E16" s="69">
        <v>74.147278911564953</v>
      </c>
      <c r="F16" s="133" t="s">
        <v>79</v>
      </c>
    </row>
    <row r="17" spans="2:6">
      <c r="B17" s="23" t="s">
        <v>254</v>
      </c>
      <c r="C17" s="23" t="s">
        <v>28</v>
      </c>
      <c r="D17" s="134" t="s">
        <v>251</v>
      </c>
      <c r="E17" s="69">
        <v>82.993333333333368</v>
      </c>
      <c r="F17" s="133" t="s">
        <v>79</v>
      </c>
    </row>
    <row r="18" spans="2:6">
      <c r="B18" s="23" t="s">
        <v>254</v>
      </c>
      <c r="C18" s="23" t="s">
        <v>28</v>
      </c>
      <c r="D18" s="134" t="s">
        <v>78</v>
      </c>
      <c r="E18" s="69">
        <v>93.093151927437432</v>
      </c>
      <c r="F18" s="133" t="s">
        <v>79</v>
      </c>
    </row>
    <row r="19" spans="2:6">
      <c r="B19" s="23" t="s">
        <v>254</v>
      </c>
      <c r="C19" s="23" t="s">
        <v>28</v>
      </c>
      <c r="D19" s="74" t="s">
        <v>76</v>
      </c>
      <c r="E19" s="71">
        <f>E16*$E$22</f>
        <v>88.976734693877944</v>
      </c>
      <c r="F19" s="135" t="s">
        <v>252</v>
      </c>
    </row>
    <row r="20" spans="2:6">
      <c r="B20" s="23" t="s">
        <v>254</v>
      </c>
      <c r="C20" s="23" t="s">
        <v>28</v>
      </c>
      <c r="D20" s="134" t="s">
        <v>251</v>
      </c>
      <c r="E20" s="71">
        <f t="shared" ref="E20:E21" si="0">E17*$E$22</f>
        <v>99.592000000000041</v>
      </c>
      <c r="F20" s="135" t="s">
        <v>252</v>
      </c>
    </row>
    <row r="21" spans="2:6">
      <c r="B21" s="23" t="s">
        <v>254</v>
      </c>
      <c r="C21" s="23" t="s">
        <v>28</v>
      </c>
      <c r="D21" s="134" t="s">
        <v>78</v>
      </c>
      <c r="E21" s="71">
        <f t="shared" si="0"/>
        <v>111.71178231292491</v>
      </c>
      <c r="F21" s="135" t="s">
        <v>252</v>
      </c>
    </row>
    <row r="22" spans="2:6" ht="20.25" thickBot="1">
      <c r="B22" s="100" t="s">
        <v>254</v>
      </c>
      <c r="C22" s="100" t="s">
        <v>28</v>
      </c>
      <c r="D22" s="107" t="s">
        <v>83</v>
      </c>
      <c r="E22" s="73">
        <v>1.2</v>
      </c>
      <c r="F22" s="138" t="s">
        <v>253</v>
      </c>
    </row>
    <row r="23" spans="2:6">
      <c r="B23" s="98" t="s">
        <v>250</v>
      </c>
      <c r="C23" s="98" t="s">
        <v>29</v>
      </c>
      <c r="D23" s="106" t="s">
        <v>74</v>
      </c>
      <c r="E23" s="70">
        <v>5890.9297177642584</v>
      </c>
      <c r="F23" s="137" t="s">
        <v>79</v>
      </c>
    </row>
    <row r="24" spans="2:6">
      <c r="B24" s="23" t="s">
        <v>250</v>
      </c>
      <c r="C24" s="23" t="s">
        <v>29</v>
      </c>
      <c r="D24" s="74" t="s">
        <v>76</v>
      </c>
      <c r="E24" s="69">
        <v>206.99109020475927</v>
      </c>
      <c r="F24" s="133" t="s">
        <v>79</v>
      </c>
    </row>
    <row r="25" spans="2:6">
      <c r="B25" s="23" t="s">
        <v>250</v>
      </c>
      <c r="C25" s="23" t="s">
        <v>29</v>
      </c>
      <c r="D25" s="74" t="s">
        <v>76</v>
      </c>
      <c r="E25" s="71">
        <f>E24*$E$26</f>
        <v>1386.8403043718872</v>
      </c>
      <c r="F25" s="135" t="s">
        <v>252</v>
      </c>
    </row>
    <row r="26" spans="2:6" ht="20.25" thickBot="1">
      <c r="B26" s="101" t="s">
        <v>250</v>
      </c>
      <c r="C26" s="101" t="s">
        <v>29</v>
      </c>
      <c r="D26" s="105" t="s">
        <v>83</v>
      </c>
      <c r="E26" s="72">
        <v>6.7</v>
      </c>
      <c r="F26" s="136" t="s">
        <v>253</v>
      </c>
    </row>
    <row r="27" spans="2:6" ht="20.25" thickTop="1">
      <c r="B27" s="98" t="s">
        <v>254</v>
      </c>
      <c r="C27" s="98" t="s">
        <v>29</v>
      </c>
      <c r="D27" s="106" t="s">
        <v>74</v>
      </c>
      <c r="E27" s="70">
        <v>6499.0525433203211</v>
      </c>
      <c r="F27" s="137" t="s">
        <v>79</v>
      </c>
    </row>
    <row r="28" spans="2:6">
      <c r="B28" s="23" t="s">
        <v>254</v>
      </c>
      <c r="C28" s="23" t="s">
        <v>29</v>
      </c>
      <c r="D28" s="74" t="s">
        <v>76</v>
      </c>
      <c r="E28" s="69">
        <v>160.12885410843916</v>
      </c>
      <c r="F28" s="133" t="s">
        <v>79</v>
      </c>
    </row>
    <row r="29" spans="2:6">
      <c r="B29" s="23" t="s">
        <v>254</v>
      </c>
      <c r="C29" s="23" t="s">
        <v>29</v>
      </c>
      <c r="D29" s="74" t="s">
        <v>76</v>
      </c>
      <c r="E29" s="71">
        <f>E28*$E$30</f>
        <v>736.59272889882004</v>
      </c>
      <c r="F29" s="135" t="s">
        <v>252</v>
      </c>
    </row>
    <row r="30" spans="2:6" ht="20.25" thickBot="1">
      <c r="B30" s="100" t="s">
        <v>254</v>
      </c>
      <c r="C30" s="100" t="s">
        <v>29</v>
      </c>
      <c r="D30" s="107" t="s">
        <v>83</v>
      </c>
      <c r="E30" s="73">
        <v>4.5999999999999996</v>
      </c>
      <c r="F30" s="138" t="s">
        <v>253</v>
      </c>
    </row>
    <row r="31" spans="2:6">
      <c r="B31" s="98" t="s">
        <v>250</v>
      </c>
      <c r="C31" s="98" t="s">
        <v>41</v>
      </c>
      <c r="D31" s="106" t="s">
        <v>74</v>
      </c>
      <c r="E31" s="70">
        <v>3831.686629186011</v>
      </c>
      <c r="F31" s="137" t="s">
        <v>79</v>
      </c>
    </row>
    <row r="32" spans="2:6">
      <c r="B32" s="23" t="s">
        <v>250</v>
      </c>
      <c r="C32" s="23" t="s">
        <v>41</v>
      </c>
      <c r="D32" s="74" t="s">
        <v>76</v>
      </c>
      <c r="E32" s="69">
        <v>80.179907113175261</v>
      </c>
      <c r="F32" s="133" t="s">
        <v>79</v>
      </c>
    </row>
    <row r="33" spans="2:6">
      <c r="B33" s="23" t="s">
        <v>250</v>
      </c>
      <c r="C33" s="23" t="s">
        <v>41</v>
      </c>
      <c r="D33" s="134" t="s">
        <v>251</v>
      </c>
      <c r="E33" s="69">
        <v>69</v>
      </c>
      <c r="F33" s="133" t="s">
        <v>79</v>
      </c>
    </row>
    <row r="34" spans="2:6">
      <c r="B34" s="23" t="s">
        <v>250</v>
      </c>
      <c r="C34" s="23" t="s">
        <v>41</v>
      </c>
      <c r="D34" s="74" t="s">
        <v>76</v>
      </c>
      <c r="E34" s="71">
        <f>E32*$E$36</f>
        <v>216.48574920557323</v>
      </c>
      <c r="F34" s="135" t="s">
        <v>252</v>
      </c>
    </row>
    <row r="35" spans="2:6">
      <c r="B35" s="23" t="s">
        <v>250</v>
      </c>
      <c r="C35" s="23" t="s">
        <v>41</v>
      </c>
      <c r="D35" s="134" t="s">
        <v>251</v>
      </c>
      <c r="E35" s="71">
        <f>E33*$E$36</f>
        <v>186.3</v>
      </c>
      <c r="F35" s="135" t="s">
        <v>252</v>
      </c>
    </row>
    <row r="36" spans="2:6" ht="20.25" thickBot="1">
      <c r="B36" s="101" t="s">
        <v>250</v>
      </c>
      <c r="C36" s="101" t="s">
        <v>41</v>
      </c>
      <c r="D36" s="101" t="s">
        <v>83</v>
      </c>
      <c r="E36" s="72">
        <v>2.7</v>
      </c>
      <c r="F36" s="136" t="s">
        <v>253</v>
      </c>
    </row>
    <row r="37" spans="2:6" ht="20.25" thickTop="1">
      <c r="B37" s="98" t="s">
        <v>254</v>
      </c>
      <c r="C37" s="98" t="s">
        <v>41</v>
      </c>
      <c r="D37" s="106" t="s">
        <v>74</v>
      </c>
      <c r="E37" s="70">
        <v>3900.9076023391808</v>
      </c>
      <c r="F37" s="137" t="s">
        <v>79</v>
      </c>
    </row>
    <row r="38" spans="2:6">
      <c r="B38" s="23" t="s">
        <v>254</v>
      </c>
      <c r="C38" s="23" t="s">
        <v>41</v>
      </c>
      <c r="D38" s="74" t="s">
        <v>76</v>
      </c>
      <c r="E38" s="69">
        <v>87.86619883040936</v>
      </c>
      <c r="F38" s="133" t="s">
        <v>79</v>
      </c>
    </row>
    <row r="39" spans="2:6">
      <c r="B39" s="23" t="s">
        <v>254</v>
      </c>
      <c r="C39" s="23" t="s">
        <v>41</v>
      </c>
      <c r="D39" s="134" t="s">
        <v>251</v>
      </c>
      <c r="E39" s="69">
        <v>40.611705263157504</v>
      </c>
      <c r="F39" s="133" t="s">
        <v>79</v>
      </c>
    </row>
    <row r="40" spans="2:6">
      <c r="B40" s="23" t="s">
        <v>254</v>
      </c>
      <c r="C40" s="23" t="s">
        <v>41</v>
      </c>
      <c r="D40" s="74" t="s">
        <v>76</v>
      </c>
      <c r="E40" s="71">
        <f>E38*$E$42</f>
        <v>237.23873684210528</v>
      </c>
      <c r="F40" s="135" t="s">
        <v>252</v>
      </c>
    </row>
    <row r="41" spans="2:6">
      <c r="B41" s="23" t="s">
        <v>254</v>
      </c>
      <c r="C41" s="23" t="s">
        <v>41</v>
      </c>
      <c r="D41" s="134" t="s">
        <v>251</v>
      </c>
      <c r="E41" s="71">
        <f>E39*$E$42</f>
        <v>109.65160421052526</v>
      </c>
      <c r="F41" s="135" t="s">
        <v>252</v>
      </c>
    </row>
    <row r="42" spans="2:6">
      <c r="B42" s="23" t="s">
        <v>254</v>
      </c>
      <c r="C42" s="23" t="s">
        <v>41</v>
      </c>
      <c r="D42" s="74" t="s">
        <v>83</v>
      </c>
      <c r="E42" s="57">
        <v>2.7</v>
      </c>
      <c r="F42" s="133" t="s">
        <v>253</v>
      </c>
    </row>
    <row r="44" spans="2:6">
      <c r="B44" s="102" t="s">
        <v>255</v>
      </c>
      <c r="C44" s="102" t="s">
        <v>256</v>
      </c>
    </row>
    <row r="45" spans="2:6">
      <c r="B45" s="58">
        <f>($D$49)*D50</f>
        <v>2.0999999999999999E-3</v>
      </c>
      <c r="C45" s="58">
        <f>D51*D52</f>
        <v>2.6399999999999996E-3</v>
      </c>
    </row>
    <row r="48" spans="2:6">
      <c r="B48" s="102" t="s">
        <v>218</v>
      </c>
      <c r="C48" s="102" t="s">
        <v>219</v>
      </c>
      <c r="D48" s="102" t="s">
        <v>220</v>
      </c>
    </row>
    <row r="49" spans="1:4" ht="58.5">
      <c r="B49" s="23" t="s">
        <v>257</v>
      </c>
      <c r="C49" s="125" t="s">
        <v>221</v>
      </c>
      <c r="D49" s="19">
        <v>0.21</v>
      </c>
    </row>
    <row r="50" spans="1:4" ht="39">
      <c r="B50" s="23" t="s">
        <v>257</v>
      </c>
      <c r="C50" s="139" t="s">
        <v>222</v>
      </c>
      <c r="D50" s="140">
        <v>0.01</v>
      </c>
    </row>
    <row r="51" spans="1:4" ht="39">
      <c r="B51" s="23" t="s">
        <v>258</v>
      </c>
      <c r="C51" s="141" t="s">
        <v>223</v>
      </c>
      <c r="D51" s="142">
        <v>0.24</v>
      </c>
    </row>
    <row r="52" spans="1:4">
      <c r="B52" s="23" t="s">
        <v>258</v>
      </c>
      <c r="C52" s="141" t="s">
        <v>224</v>
      </c>
      <c r="D52" s="142">
        <v>1.0999999999999999E-2</v>
      </c>
    </row>
    <row r="53" spans="1:4">
      <c r="B53" s="23"/>
      <c r="C53" s="23" t="s">
        <v>259</v>
      </c>
      <c r="D53" s="23">
        <v>273</v>
      </c>
    </row>
    <row r="54" spans="1:4">
      <c r="B54" s="102" t="s">
        <v>260</v>
      </c>
      <c r="C54" s="112"/>
      <c r="D54" s="112"/>
    </row>
    <row r="58" spans="1:4">
      <c r="A58" s="76"/>
    </row>
    <row r="59" spans="1:4" ht="66" customHeight="1">
      <c r="A59" s="76"/>
    </row>
    <row r="60" spans="1:4">
      <c r="A60" s="76" t="s">
        <v>261</v>
      </c>
    </row>
    <row r="61" spans="1:4">
      <c r="A61" s="76" t="s">
        <v>262</v>
      </c>
    </row>
    <row r="62" spans="1:4">
      <c r="A62" s="76" t="s">
        <v>263</v>
      </c>
    </row>
    <row r="63" spans="1:4">
      <c r="A63" s="76"/>
    </row>
  </sheetData>
  <mergeCells count="1">
    <mergeCell ref="B5:F5"/>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6324-C1F9-4FB6-95B7-331A7695238E}">
  <sheetPr codeName="Sheet10">
    <tabColor rgb="FF183C73"/>
  </sheetPr>
  <dimension ref="A2:O30"/>
  <sheetViews>
    <sheetView showGridLines="0" zoomScale="90" workbookViewId="0"/>
  </sheetViews>
  <sheetFormatPr defaultRowHeight="15"/>
  <cols>
    <col min="2" max="2" width="46.625" customWidth="1"/>
    <col min="3" max="3" width="27.125" customWidth="1"/>
    <col min="4" max="4" width="19.125" customWidth="1"/>
    <col min="5" max="5" width="21.375" customWidth="1"/>
    <col min="6" max="6" width="16.375" customWidth="1"/>
    <col min="7" max="7" width="21.375" customWidth="1"/>
    <col min="8" max="8" width="18.375" customWidth="1"/>
    <col min="10" max="10" width="11.25" customWidth="1"/>
    <col min="13" max="13" width="35.5" customWidth="1"/>
    <col min="14" max="14" width="43.875" customWidth="1"/>
    <col min="15" max="15" width="24.5" customWidth="1"/>
    <col min="16" max="16" width="14.625" customWidth="1"/>
  </cols>
  <sheetData>
    <row r="2" spans="1:15" ht="19.5">
      <c r="B2" s="1" t="s">
        <v>264</v>
      </c>
      <c r="C2" s="2"/>
      <c r="D2" s="2"/>
      <c r="E2" s="2"/>
      <c r="F2" s="2"/>
      <c r="G2" s="2"/>
      <c r="H2" s="2"/>
      <c r="I2" s="2"/>
      <c r="J2" s="2"/>
      <c r="K2" s="2"/>
      <c r="L2" s="2"/>
      <c r="M2" s="2"/>
      <c r="N2" s="2"/>
      <c r="O2" s="2"/>
    </row>
    <row r="3" spans="1:15" ht="60" customHeight="1">
      <c r="B3" s="113" t="s">
        <v>265</v>
      </c>
      <c r="C3" s="114" t="s">
        <v>266</v>
      </c>
      <c r="D3" s="114" t="s">
        <v>267</v>
      </c>
      <c r="E3" s="115" t="s">
        <v>268</v>
      </c>
      <c r="F3" s="102" t="s">
        <v>269</v>
      </c>
      <c r="G3" s="102" t="s">
        <v>270</v>
      </c>
      <c r="H3" s="102" t="s">
        <v>271</v>
      </c>
      <c r="I3" s="102" t="s">
        <v>272</v>
      </c>
      <c r="J3" s="102" t="s">
        <v>273</v>
      </c>
      <c r="K3" s="102" t="s">
        <v>55</v>
      </c>
      <c r="L3" s="102" t="s">
        <v>123</v>
      </c>
      <c r="M3" s="102" t="s">
        <v>274</v>
      </c>
      <c r="N3" s="116" t="s">
        <v>275</v>
      </c>
      <c r="O3" s="116" t="s">
        <v>276</v>
      </c>
    </row>
    <row r="4" spans="1:15" ht="21">
      <c r="B4" s="117" t="s">
        <v>277</v>
      </c>
      <c r="C4" s="117" t="s">
        <v>278</v>
      </c>
      <c r="D4" s="117" t="s">
        <v>279</v>
      </c>
      <c r="E4" s="117">
        <f>AVERAGE(2,3.2)</f>
        <v>2.6</v>
      </c>
      <c r="F4" s="117">
        <f>80%*E4</f>
        <v>2.08</v>
      </c>
      <c r="G4" s="118">
        <f>10%*E4</f>
        <v>0.26</v>
      </c>
      <c r="H4" s="118">
        <f>10%*E4</f>
        <v>0.26</v>
      </c>
      <c r="I4" s="118">
        <v>240</v>
      </c>
      <c r="J4" s="118">
        <v>3.6</v>
      </c>
      <c r="K4" s="118" t="s">
        <v>280</v>
      </c>
      <c r="L4" s="119" t="s">
        <v>281</v>
      </c>
      <c r="M4" s="23">
        <v>1</v>
      </c>
      <c r="N4" s="120" t="s">
        <v>282</v>
      </c>
      <c r="O4" s="121" t="s">
        <v>282</v>
      </c>
    </row>
    <row r="5" spans="1:15" ht="21">
      <c r="B5" s="117"/>
      <c r="C5" s="117"/>
      <c r="D5" s="117" t="s">
        <v>283</v>
      </c>
      <c r="E5" s="117">
        <v>0.5</v>
      </c>
      <c r="F5" s="117">
        <f>80%*E5</f>
        <v>0.4</v>
      </c>
      <c r="G5" s="118">
        <f>10%*E5</f>
        <v>0.05</v>
      </c>
      <c r="H5" s="118">
        <f>10%*E5</f>
        <v>0.05</v>
      </c>
      <c r="I5" s="118"/>
      <c r="J5" s="118"/>
      <c r="K5" s="118"/>
      <c r="L5" s="119" t="s">
        <v>281</v>
      </c>
      <c r="M5" s="23">
        <v>1</v>
      </c>
      <c r="N5" s="120" t="s">
        <v>282</v>
      </c>
      <c r="O5" s="121" t="s">
        <v>282</v>
      </c>
    </row>
    <row r="6" spans="1:15" ht="42">
      <c r="B6" s="117"/>
      <c r="C6" s="117" t="s">
        <v>284</v>
      </c>
      <c r="D6" s="117" t="s">
        <v>285</v>
      </c>
      <c r="E6" s="117">
        <v>5</v>
      </c>
      <c r="F6" s="117">
        <f>80%*E6</f>
        <v>4</v>
      </c>
      <c r="G6" s="118">
        <f>10%*E6</f>
        <v>0.5</v>
      </c>
      <c r="H6" s="118">
        <f>10%*E6</f>
        <v>0.5</v>
      </c>
      <c r="I6" s="118"/>
      <c r="J6" s="118"/>
      <c r="K6" s="118"/>
      <c r="L6" s="119" t="s">
        <v>281</v>
      </c>
      <c r="M6" s="23">
        <v>1</v>
      </c>
      <c r="N6" s="120" t="s">
        <v>282</v>
      </c>
      <c r="O6" s="121" t="s">
        <v>282</v>
      </c>
    </row>
    <row r="7" spans="1:15" ht="42">
      <c r="B7" s="117" t="s">
        <v>286</v>
      </c>
      <c r="C7" s="117" t="s">
        <v>287</v>
      </c>
      <c r="D7" s="117" t="s">
        <v>288</v>
      </c>
      <c r="E7" s="117">
        <f>AVERAGE(1,5)</f>
        <v>3</v>
      </c>
      <c r="F7" s="117">
        <f>80%*E7</f>
        <v>2.4000000000000004</v>
      </c>
      <c r="G7" s="118">
        <f>10%*E7</f>
        <v>0.30000000000000004</v>
      </c>
      <c r="H7" s="118">
        <f>10%*E7</f>
        <v>0.30000000000000004</v>
      </c>
      <c r="I7" s="118">
        <v>15</v>
      </c>
      <c r="J7" s="118">
        <v>6</v>
      </c>
      <c r="K7" s="118" t="s">
        <v>289</v>
      </c>
      <c r="L7" s="119" t="s">
        <v>281</v>
      </c>
      <c r="M7" s="23">
        <v>1</v>
      </c>
      <c r="N7" s="120" t="s">
        <v>282</v>
      </c>
      <c r="O7" s="121"/>
    </row>
    <row r="8" spans="1:15" ht="63">
      <c r="B8" s="117"/>
      <c r="C8" s="117" t="s">
        <v>290</v>
      </c>
      <c r="D8" s="117" t="s">
        <v>291</v>
      </c>
      <c r="E8" s="118">
        <f>AVERAGE(200,450)</f>
        <v>325</v>
      </c>
      <c r="F8" s="117">
        <f>80%*E8</f>
        <v>260</v>
      </c>
      <c r="G8" s="118">
        <f>10%*E8</f>
        <v>32.5</v>
      </c>
      <c r="H8" s="118">
        <f>10%*E8</f>
        <v>32.5</v>
      </c>
      <c r="I8" s="118"/>
      <c r="J8" s="118"/>
      <c r="K8" s="118"/>
      <c r="L8" s="119" t="s">
        <v>281</v>
      </c>
      <c r="M8" s="23">
        <v>1</v>
      </c>
      <c r="N8" s="120" t="s">
        <v>282</v>
      </c>
      <c r="O8" s="121" t="s">
        <v>282</v>
      </c>
    </row>
    <row r="9" spans="1:15" ht="21">
      <c r="A9" s="2"/>
      <c r="B9" s="122"/>
      <c r="C9" s="122"/>
      <c r="D9" s="122"/>
      <c r="E9" s="122"/>
      <c r="F9" s="122"/>
      <c r="G9" s="122"/>
      <c r="H9" s="122"/>
      <c r="I9" s="81"/>
      <c r="J9" s="81"/>
      <c r="K9" s="81"/>
      <c r="L9" s="81"/>
      <c r="M9" s="81"/>
      <c r="N9" s="81"/>
    </row>
    <row r="10" spans="1:15" ht="21">
      <c r="A10" s="2"/>
      <c r="B10" s="51" t="s">
        <v>292</v>
      </c>
      <c r="C10" s="122"/>
      <c r="D10" s="122"/>
      <c r="E10" s="122"/>
      <c r="F10" s="122"/>
      <c r="G10" s="122"/>
      <c r="H10" s="122"/>
      <c r="I10" s="81"/>
      <c r="J10" s="81"/>
      <c r="K10" s="81"/>
      <c r="L10" s="81"/>
      <c r="M10" s="81"/>
      <c r="N10" s="81"/>
    </row>
    <row r="11" spans="1:15" ht="19.5">
      <c r="A11" s="2"/>
      <c r="B11" s="123"/>
      <c r="C11" s="124" t="s">
        <v>113</v>
      </c>
      <c r="D11" s="2"/>
      <c r="E11" s="2"/>
      <c r="F11" s="2"/>
      <c r="G11" s="2"/>
      <c r="H11" s="2"/>
    </row>
    <row r="12" spans="1:15" ht="19.5">
      <c r="A12" s="2"/>
      <c r="B12" s="23" t="s">
        <v>102</v>
      </c>
      <c r="C12" s="88">
        <v>0.8</v>
      </c>
      <c r="D12" s="2"/>
      <c r="E12" s="2"/>
      <c r="F12" s="2"/>
      <c r="G12" s="2"/>
      <c r="H12" s="2"/>
    </row>
    <row r="13" spans="1:15" ht="19.5">
      <c r="A13" s="2"/>
      <c r="B13" s="98" t="s">
        <v>103</v>
      </c>
      <c r="C13" s="88">
        <v>0.8</v>
      </c>
      <c r="D13" s="2"/>
      <c r="E13" s="2"/>
      <c r="F13" s="2"/>
      <c r="G13" s="2"/>
      <c r="H13" s="2"/>
    </row>
    <row r="14" spans="1:15" ht="19.5">
      <c r="A14" s="2"/>
      <c r="B14" s="2"/>
      <c r="C14" s="2"/>
      <c r="D14" s="2"/>
      <c r="E14" s="2"/>
      <c r="F14" s="2"/>
      <c r="G14" s="2"/>
      <c r="H14" s="2"/>
    </row>
    <row r="15" spans="1:15" ht="19.5">
      <c r="A15" s="2"/>
      <c r="B15" s="2"/>
      <c r="C15" s="2"/>
      <c r="D15" s="2"/>
      <c r="E15" s="2"/>
      <c r="F15" s="2"/>
      <c r="G15" s="2"/>
      <c r="H15" s="2"/>
    </row>
    <row r="16" spans="1:15" ht="19.5">
      <c r="A16" s="2"/>
      <c r="B16" s="1" t="s">
        <v>293</v>
      </c>
      <c r="C16" s="2"/>
      <c r="D16" s="2"/>
      <c r="E16" s="66"/>
      <c r="F16" s="2"/>
      <c r="G16" s="2"/>
      <c r="H16" s="2"/>
    </row>
    <row r="17" spans="1:8" ht="19.5">
      <c r="A17" s="2"/>
      <c r="B17" s="22" t="s">
        <v>60</v>
      </c>
      <c r="C17" s="22" t="s">
        <v>61</v>
      </c>
      <c r="D17" s="22" t="s">
        <v>55</v>
      </c>
      <c r="E17" s="67" t="s">
        <v>56</v>
      </c>
      <c r="F17" s="2"/>
      <c r="G17" s="2"/>
      <c r="H17" s="2"/>
    </row>
    <row r="18" spans="1:8" ht="39">
      <c r="A18" s="2"/>
      <c r="B18" s="8" t="s">
        <v>107</v>
      </c>
      <c r="C18" s="103" t="s">
        <v>108</v>
      </c>
      <c r="D18" s="52" t="s">
        <v>48</v>
      </c>
      <c r="E18" s="63">
        <f>SUM('First Order Effects'!$F$7*'Emission Factors'!$D$22,'First Order Effects'!$G$7*'Emission Factors'!$D$21,'First Order Effects'!$H$7*'Emission Factors'!$D$23)</f>
        <v>10.850947818000002</v>
      </c>
      <c r="F18" s="2" t="s">
        <v>321</v>
      </c>
      <c r="G18" s="2"/>
      <c r="H18" s="2"/>
    </row>
    <row r="19" spans="1:8" ht="39">
      <c r="A19" s="2"/>
      <c r="B19" s="8" t="s">
        <v>320</v>
      </c>
      <c r="C19" s="103" t="s">
        <v>116</v>
      </c>
      <c r="D19" s="52" t="s">
        <v>48</v>
      </c>
      <c r="E19" s="151">
        <f>SUM('First Order Effects'!$E$7)*(Backend!$E$61)</f>
        <v>2.0503185E-2</v>
      </c>
      <c r="F19" s="2" t="s">
        <v>321</v>
      </c>
      <c r="G19" s="2"/>
      <c r="H19" s="2"/>
    </row>
    <row r="20" spans="1:8" ht="19.5">
      <c r="A20" s="2"/>
      <c r="B20" s="2"/>
      <c r="C20" s="2"/>
      <c r="D20" s="2"/>
    </row>
    <row r="21" spans="1:8" ht="19.5">
      <c r="A21" s="2"/>
      <c r="B21" s="2"/>
      <c r="C21" s="2"/>
      <c r="D21" s="2"/>
    </row>
    <row r="22" spans="1:8" ht="19.5">
      <c r="A22" s="2"/>
      <c r="B22" s="2"/>
      <c r="C22" s="2"/>
      <c r="D22" s="2"/>
      <c r="E22" s="2"/>
      <c r="F22" s="2"/>
      <c r="G22" s="2"/>
      <c r="H22" s="2"/>
    </row>
    <row r="23" spans="1:8" ht="19.5">
      <c r="A23" s="2"/>
      <c r="B23" s="2"/>
      <c r="C23" s="2"/>
      <c r="D23" s="2"/>
      <c r="E23" s="2"/>
      <c r="F23" s="2"/>
      <c r="G23" s="2"/>
      <c r="H23" s="2"/>
    </row>
    <row r="24" spans="1:8" ht="19.5">
      <c r="A24" s="2"/>
      <c r="B24" s="2"/>
      <c r="C24" s="2"/>
      <c r="D24" s="2"/>
      <c r="E24" s="2"/>
      <c r="F24" s="2"/>
      <c r="G24" s="2"/>
      <c r="H24" s="2"/>
    </row>
    <row r="25" spans="1:8" ht="19.5">
      <c r="A25" s="2"/>
      <c r="B25" s="2"/>
      <c r="C25" s="2"/>
      <c r="D25" s="2"/>
      <c r="E25" s="2"/>
      <c r="F25" s="2"/>
      <c r="G25" s="2"/>
      <c r="H25" s="2"/>
    </row>
    <row r="26" spans="1:8" ht="19.5">
      <c r="A26" s="2"/>
      <c r="B26" s="2"/>
      <c r="C26" s="2"/>
      <c r="D26" s="2"/>
      <c r="E26" s="2"/>
      <c r="F26" s="2"/>
      <c r="G26" s="2"/>
      <c r="H26" s="2"/>
    </row>
    <row r="27" spans="1:8" ht="19.5">
      <c r="A27" s="2"/>
      <c r="B27" s="2"/>
      <c r="C27" s="2"/>
      <c r="D27" s="2"/>
      <c r="E27" s="2"/>
      <c r="F27" s="2"/>
      <c r="G27" s="2"/>
      <c r="H27" s="2"/>
    </row>
    <row r="28" spans="1:8" ht="19.5">
      <c r="A28" s="2"/>
      <c r="B28" s="2"/>
      <c r="C28" s="2"/>
      <c r="D28" s="2"/>
      <c r="E28" s="2"/>
      <c r="F28" s="2"/>
      <c r="G28" s="2"/>
      <c r="H28" s="2"/>
    </row>
    <row r="29" spans="1:8" ht="19.5">
      <c r="B29" s="2"/>
      <c r="C29" s="2"/>
      <c r="D29" s="2"/>
      <c r="E29" s="2"/>
    </row>
    <row r="30" spans="1:8" ht="19.5">
      <c r="B30" s="2"/>
      <c r="C30" s="2"/>
      <c r="D30" s="2"/>
      <c r="E30"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801E-F4E5-4173-A3E9-04E8BB721C76}">
  <sheetPr codeName="Sheet9">
    <tabColor rgb="FF183C73"/>
  </sheetPr>
  <dimension ref="A2:M50"/>
  <sheetViews>
    <sheetView showGridLines="0" zoomScale="66" workbookViewId="0"/>
  </sheetViews>
  <sheetFormatPr defaultRowHeight="19.5"/>
  <cols>
    <col min="1" max="1" width="8.625" style="2"/>
    <col min="2" max="2" width="68.625" style="2" customWidth="1"/>
    <col min="3" max="3" width="65.375" style="2" customWidth="1"/>
    <col min="4" max="4" width="44" style="2" customWidth="1"/>
    <col min="5" max="7" width="15.375" style="2" customWidth="1"/>
    <col min="8" max="8" width="23" style="2" bestFit="1" customWidth="1"/>
    <col min="9" max="11" width="8.625" style="2"/>
  </cols>
  <sheetData>
    <row r="2" spans="1:4" ht="21">
      <c r="B2" s="51" t="s">
        <v>122</v>
      </c>
    </row>
    <row r="4" spans="1:4">
      <c r="B4" s="80" t="s">
        <v>43</v>
      </c>
      <c r="C4" s="80" t="s">
        <v>191</v>
      </c>
      <c r="D4" s="126"/>
    </row>
    <row r="5" spans="1:4">
      <c r="B5" s="19" t="s">
        <v>192</v>
      </c>
      <c r="C5" s="19">
        <v>0.52</v>
      </c>
      <c r="D5" s="89"/>
    </row>
    <row r="6" spans="1:4">
      <c r="A6" s="76"/>
      <c r="B6" s="246" t="s">
        <v>193</v>
      </c>
      <c r="C6" s="246"/>
      <c r="D6" s="126"/>
    </row>
    <row r="7" spans="1:4">
      <c r="A7" s="76"/>
      <c r="B7" s="158"/>
      <c r="C7" s="158"/>
      <c r="D7" s="126"/>
    </row>
    <row r="8" spans="1:4">
      <c r="B8" s="126"/>
      <c r="C8" s="126"/>
      <c r="D8" s="126"/>
    </row>
    <row r="9" spans="1:4">
      <c r="B9" s="17" t="s">
        <v>194</v>
      </c>
      <c r="C9" s="17" t="s">
        <v>195</v>
      </c>
      <c r="D9" s="17" t="s">
        <v>196</v>
      </c>
    </row>
    <row r="10" spans="1:4">
      <c r="B10" s="19" t="s">
        <v>197</v>
      </c>
      <c r="C10" s="19" t="s">
        <v>198</v>
      </c>
      <c r="D10" s="19">
        <v>0.01</v>
      </c>
    </row>
    <row r="11" spans="1:4">
      <c r="B11" s="245" t="s">
        <v>199</v>
      </c>
      <c r="C11" s="245"/>
      <c r="D11" s="245"/>
    </row>
    <row r="12" spans="1:4">
      <c r="B12" s="157"/>
      <c r="C12" s="157"/>
      <c r="D12" s="157"/>
    </row>
    <row r="13" spans="1:4">
      <c r="B13" s="157"/>
      <c r="C13" s="157"/>
      <c r="D13" s="157"/>
    </row>
    <row r="14" spans="1:4">
      <c r="B14" s="17" t="s">
        <v>194</v>
      </c>
      <c r="C14" s="17" t="s">
        <v>195</v>
      </c>
      <c r="D14" s="17" t="s">
        <v>200</v>
      </c>
    </row>
    <row r="15" spans="1:4">
      <c r="B15" s="19" t="s">
        <v>201</v>
      </c>
      <c r="C15" s="19" t="s">
        <v>202</v>
      </c>
      <c r="D15" s="19">
        <v>5.5</v>
      </c>
    </row>
    <row r="16" spans="1:4">
      <c r="B16" s="249" t="s">
        <v>203</v>
      </c>
      <c r="C16" s="249"/>
      <c r="D16" s="249"/>
    </row>
    <row r="17" spans="2:6">
      <c r="B17" s="159"/>
      <c r="C17" s="157"/>
      <c r="D17" s="157"/>
    </row>
    <row r="18" spans="2:6">
      <c r="B18" s="156"/>
      <c r="C18" s="126"/>
      <c r="D18" s="126"/>
    </row>
    <row r="19" spans="2:6">
      <c r="B19" s="17" t="s">
        <v>204</v>
      </c>
      <c r="C19" s="17" t="s">
        <v>195</v>
      </c>
      <c r="D19" s="17" t="s">
        <v>196</v>
      </c>
    </row>
    <row r="20" spans="2:6">
      <c r="B20" s="19" t="s">
        <v>205</v>
      </c>
      <c r="C20" s="19" t="s">
        <v>206</v>
      </c>
      <c r="D20" s="145">
        <f>24865.47556/1000</f>
        <v>24.86547556</v>
      </c>
    </row>
    <row r="21" spans="2:6">
      <c r="B21" s="19" t="s">
        <v>207</v>
      </c>
      <c r="C21" s="19" t="s">
        <v>206</v>
      </c>
      <c r="D21" s="127">
        <f>5647.94563/1000</f>
        <v>5.6479456300000006</v>
      </c>
    </row>
    <row r="22" spans="2:6">
      <c r="B22" s="19" t="s">
        <v>208</v>
      </c>
      <c r="C22" s="19" t="s">
        <v>209</v>
      </c>
      <c r="D22" s="127">
        <f>3172.49932/1000</f>
        <v>3.17249932</v>
      </c>
    </row>
    <row r="23" spans="2:6">
      <c r="B23" s="19" t="s">
        <v>210</v>
      </c>
      <c r="C23" s="19" t="s">
        <v>211</v>
      </c>
      <c r="D23" s="127">
        <f>5141.88587/1000</f>
        <v>5.1418858700000003</v>
      </c>
      <c r="F23" s="128"/>
    </row>
    <row r="24" spans="2:6">
      <c r="B24" s="247" t="s">
        <v>212</v>
      </c>
      <c r="C24" s="247"/>
      <c r="D24" s="247"/>
    </row>
    <row r="25" spans="2:6">
      <c r="B25" s="160"/>
      <c r="C25" s="160"/>
      <c r="D25" s="160"/>
    </row>
    <row r="26" spans="2:6">
      <c r="B26" s="126"/>
      <c r="C26" s="126"/>
      <c r="D26" s="126"/>
    </row>
    <row r="27" spans="2:6">
      <c r="B27" s="17" t="s">
        <v>213</v>
      </c>
      <c r="C27" s="17" t="s">
        <v>195</v>
      </c>
      <c r="D27" s="17" t="s">
        <v>196</v>
      </c>
    </row>
    <row r="28" spans="2:6">
      <c r="B28" s="19" t="s">
        <v>206</v>
      </c>
      <c r="C28" s="19" t="s">
        <v>214</v>
      </c>
      <c r="D28" s="148">
        <f>AVERAGE(4.68568,8.98311)/1000</f>
        <v>6.8343950000000001E-3</v>
      </c>
    </row>
    <row r="29" spans="2:6">
      <c r="B29" s="19" t="s">
        <v>206</v>
      </c>
      <c r="C29" s="19" t="s">
        <v>215</v>
      </c>
      <c r="D29" s="148">
        <f t="shared" ref="D29:D31" si="0">AVERAGE(4.68568,8.98311)/1000</f>
        <v>6.8343950000000001E-3</v>
      </c>
    </row>
    <row r="30" spans="2:6">
      <c r="B30" s="19" t="s">
        <v>206</v>
      </c>
      <c r="C30" s="19" t="s">
        <v>216</v>
      </c>
      <c r="D30" s="148">
        <f t="shared" si="0"/>
        <v>6.8343950000000001E-3</v>
      </c>
    </row>
    <row r="31" spans="2:6">
      <c r="B31" s="19" t="s">
        <v>209</v>
      </c>
      <c r="C31" s="19" t="s">
        <v>217</v>
      </c>
      <c r="D31" s="148">
        <f t="shared" si="0"/>
        <v>6.8343950000000001E-3</v>
      </c>
    </row>
    <row r="32" spans="2:6">
      <c r="B32" s="247" t="s">
        <v>212</v>
      </c>
      <c r="C32" s="247"/>
      <c r="D32" s="247"/>
    </row>
    <row r="33" spans="2:13">
      <c r="B33" s="126"/>
      <c r="C33" s="126"/>
      <c r="D33" s="126"/>
    </row>
    <row r="34" spans="2:13">
      <c r="B34" s="126"/>
      <c r="C34" s="126"/>
      <c r="D34" s="126"/>
    </row>
    <row r="35" spans="2:13">
      <c r="B35" s="80" t="s">
        <v>218</v>
      </c>
      <c r="C35" s="126"/>
      <c r="D35" s="126"/>
    </row>
    <row r="36" spans="2:13">
      <c r="B36" s="80" t="s">
        <v>219</v>
      </c>
      <c r="C36" s="80" t="s">
        <v>220</v>
      </c>
      <c r="D36" s="126"/>
    </row>
    <row r="37" spans="2:13" ht="59.1" customHeight="1">
      <c r="B37" s="129" t="s">
        <v>221</v>
      </c>
      <c r="C37" s="130">
        <v>0.21</v>
      </c>
      <c r="D37" s="126"/>
    </row>
    <row r="38" spans="2:13" ht="42.6" customHeight="1">
      <c r="B38" s="131" t="s">
        <v>222</v>
      </c>
      <c r="C38" s="132">
        <v>0.01</v>
      </c>
      <c r="D38" s="126"/>
      <c r="E38" s="126"/>
      <c r="F38" s="126"/>
      <c r="G38" s="126"/>
      <c r="H38" s="126"/>
      <c r="I38" s="126"/>
      <c r="J38" s="126"/>
      <c r="K38" s="126"/>
      <c r="L38" s="126"/>
      <c r="M38" s="126"/>
    </row>
    <row r="39" spans="2:13" ht="53.45" customHeight="1">
      <c r="B39" s="131" t="s">
        <v>223</v>
      </c>
      <c r="C39" s="131">
        <v>0.24</v>
      </c>
      <c r="D39" s="126"/>
    </row>
    <row r="40" spans="2:13">
      <c r="B40" s="131" t="s">
        <v>224</v>
      </c>
      <c r="C40" s="131">
        <v>1.0999999999999999E-2</v>
      </c>
      <c r="D40" s="126"/>
    </row>
    <row r="41" spans="2:13">
      <c r="B41" s="150" t="s">
        <v>129</v>
      </c>
      <c r="C41" s="164">
        <v>273</v>
      </c>
      <c r="D41" s="126"/>
    </row>
    <row r="42" spans="2:13">
      <c r="B42" s="9" t="s">
        <v>296</v>
      </c>
      <c r="C42" s="10">
        <v>1.5714285714285714</v>
      </c>
      <c r="D42" s="126"/>
    </row>
    <row r="43" spans="2:13">
      <c r="B43" s="248" t="s">
        <v>225</v>
      </c>
      <c r="C43" s="248"/>
    </row>
    <row r="46" spans="2:13">
      <c r="B46" s="1" t="s">
        <v>226</v>
      </c>
      <c r="E46" s="202" t="s">
        <v>227</v>
      </c>
      <c r="F46" s="202"/>
      <c r="G46" s="202"/>
    </row>
    <row r="47" spans="2:13" ht="34.5" customHeight="1">
      <c r="B47" s="31" t="s">
        <v>141</v>
      </c>
      <c r="C47" s="31" t="s">
        <v>142</v>
      </c>
      <c r="D47" s="31" t="s">
        <v>143</v>
      </c>
      <c r="E47" s="201" t="s">
        <v>58</v>
      </c>
      <c r="F47" s="201" t="s">
        <v>29</v>
      </c>
      <c r="G47" s="201" t="s">
        <v>30</v>
      </c>
      <c r="H47" s="31" t="s">
        <v>55</v>
      </c>
    </row>
    <row r="48" spans="2:13">
      <c r="B48" s="97" t="s">
        <v>228</v>
      </c>
      <c r="C48" s="97" t="s">
        <v>151</v>
      </c>
      <c r="D48" s="8" t="s">
        <v>229</v>
      </c>
      <c r="E48" s="24">
        <f>Backend!M38</f>
        <v>0.44928000000000001</v>
      </c>
      <c r="F48" s="24">
        <f>Backend!N38</f>
        <v>0.44928000000000001</v>
      </c>
      <c r="G48" s="24">
        <f>Backend!O38</f>
        <v>0.44928000000000001</v>
      </c>
      <c r="H48" s="23" t="s">
        <v>230</v>
      </c>
    </row>
    <row r="49" spans="2:8">
      <c r="B49" s="97" t="s">
        <v>228</v>
      </c>
      <c r="C49" s="97" t="s">
        <v>151</v>
      </c>
      <c r="D49" s="8" t="s">
        <v>155</v>
      </c>
      <c r="E49" s="34">
        <f>SUM(Backend!M39:M41)/'First Order Effects'!$E$7</f>
        <v>3.6250650010000007</v>
      </c>
      <c r="F49" s="34">
        <f>SUM(Backend!N39:N41)/'First Order Effects'!$E$7</f>
        <v>3.635777001000001</v>
      </c>
      <c r="G49" s="34">
        <f>SUM(Backend!O39:O41)/'First Order Effects'!$E$7</f>
        <v>3.6280290010000011</v>
      </c>
      <c r="H49" s="23" t="s">
        <v>322</v>
      </c>
    </row>
    <row r="50" spans="2:8">
      <c r="B50" s="97" t="s">
        <v>231</v>
      </c>
      <c r="C50" s="97" t="s">
        <v>151</v>
      </c>
      <c r="D50" s="7" t="s">
        <v>194</v>
      </c>
      <c r="E50" s="34">
        <f>Backend!M48</f>
        <v>-9.5218868438717352E-2</v>
      </c>
      <c r="F50" s="34">
        <f>Backend!N48</f>
        <v>-0.1241258388096747</v>
      </c>
      <c r="G50" s="34">
        <f>Backend!O48</f>
        <v>-7.0915039030733762E-2</v>
      </c>
      <c r="H50" s="23" t="s">
        <v>232</v>
      </c>
    </row>
  </sheetData>
  <mergeCells count="6">
    <mergeCell ref="B11:D11"/>
    <mergeCell ref="B6:C6"/>
    <mergeCell ref="B32:D32"/>
    <mergeCell ref="B24:D24"/>
    <mergeCell ref="B43:C43"/>
    <mergeCell ref="B16:D16"/>
  </mergeCells>
  <hyperlinks>
    <hyperlink ref="B6" r:id="rId1" display="Source" xr:uid="{BF691786-DB86-47D9-82A8-BE1893E05BB8}"/>
    <hyperlink ref="B32:D32" r:id="rId2" display="https://www.gov.uk/government/publications/greenhouse-gas-reporting-conversion-factors-2025" xr:uid="{ACB946BF-3DF6-46F9-A6A1-0301E09DD696}"/>
    <hyperlink ref="B24:D24" r:id="rId3" display="https://www.gov.uk/government/publications/greenhouse-gas-reporting-conversion-factors-2025" xr:uid="{DB534FC9-732D-4BF7-8042-AFDFF2F805DA}"/>
    <hyperlink ref="B43:C43" r:id="rId4" display="IPCC AR6" xr:uid="{63329686-AB0B-4365-9617-4DB169250851}"/>
    <hyperlink ref="B11:D11" r:id="rId5" display="IPCC guidelines (2019)" xr:uid="{D2AE8134-E96C-4259-8247-15B5690D2951}"/>
    <hyperlink ref="B11" r:id="rId6" xr:uid="{9AC67517-D25F-4440-8A34-5357D4248352}"/>
    <hyperlink ref="B16" r:id="rId7" location="pf6" display="https://www.researchgate.net/publication/344417276_Greenhouse_gas_emissions_from_inorganic_and_organic_fertilizer_production_and_use_A_review_of_emission_factors_and_their_variability - pf6" xr:uid="{446D6040-3CAA-47D2-A857-4161F8C9411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9DB7-E5E3-4CA4-AC7C-2D077C518998}">
  <sheetPr>
    <tabColor rgb="FF183C73"/>
  </sheetPr>
  <dimension ref="B1:F8"/>
  <sheetViews>
    <sheetView showGridLines="0" workbookViewId="0">
      <selection activeCell="F3" sqref="F3:F8"/>
    </sheetView>
  </sheetViews>
  <sheetFormatPr defaultColWidth="41.625" defaultRowHeight="15"/>
  <cols>
    <col min="1" max="1" width="2.75" customWidth="1"/>
    <col min="2" max="2" width="16.625" customWidth="1"/>
    <col min="3" max="3" width="39.875" bestFit="1" customWidth="1"/>
    <col min="4" max="5" width="16.375" customWidth="1"/>
    <col min="6" max="6" width="24.375" customWidth="1"/>
  </cols>
  <sheetData>
    <row r="1" spans="2:6" ht="15.75" thickBot="1"/>
    <row r="2" spans="2:6" ht="21.75" thickBot="1">
      <c r="B2" s="225" t="s">
        <v>324</v>
      </c>
      <c r="C2" s="226" t="s">
        <v>325</v>
      </c>
      <c r="D2" s="226" t="s">
        <v>326</v>
      </c>
      <c r="E2" s="226" t="s">
        <v>327</v>
      </c>
      <c r="F2" s="226" t="s">
        <v>328</v>
      </c>
    </row>
    <row r="3" spans="2:6" ht="42.75" thickTop="1">
      <c r="B3" s="250" t="s">
        <v>329</v>
      </c>
      <c r="C3" s="221" t="s">
        <v>336</v>
      </c>
      <c r="D3" s="250" t="s">
        <v>334</v>
      </c>
      <c r="E3" s="250" t="s">
        <v>335</v>
      </c>
      <c r="F3" s="250" t="s">
        <v>342</v>
      </c>
    </row>
    <row r="4" spans="2:6" ht="47.25">
      <c r="B4" s="251"/>
      <c r="C4" s="222" t="s">
        <v>330</v>
      </c>
      <c r="D4" s="251"/>
      <c r="E4" s="251"/>
      <c r="F4" s="251"/>
    </row>
    <row r="5" spans="2:6" ht="42">
      <c r="B5" s="251"/>
      <c r="C5" s="223" t="s">
        <v>331</v>
      </c>
      <c r="D5" s="251"/>
      <c r="E5" s="251"/>
      <c r="F5" s="251"/>
    </row>
    <row r="6" spans="2:6" ht="47.25">
      <c r="B6" s="251"/>
      <c r="C6" s="222" t="s">
        <v>332</v>
      </c>
      <c r="D6" s="251"/>
      <c r="E6" s="251"/>
      <c r="F6" s="251"/>
    </row>
    <row r="7" spans="2:6" ht="42">
      <c r="B7" s="251"/>
      <c r="C7" s="223" t="s">
        <v>333</v>
      </c>
      <c r="D7" s="251"/>
      <c r="E7" s="251"/>
      <c r="F7" s="251"/>
    </row>
    <row r="8" spans="2:6" ht="21.75" thickBot="1">
      <c r="B8" s="252"/>
      <c r="C8" s="224"/>
      <c r="D8" s="252"/>
      <c r="E8" s="252"/>
      <c r="F8" s="252"/>
    </row>
  </sheetData>
  <mergeCells count="4">
    <mergeCell ref="B3:B8"/>
    <mergeCell ref="D3:D8"/>
    <mergeCell ref="E3:E8"/>
    <mergeCell ref="F3:F8"/>
  </mergeCells>
  <hyperlinks>
    <hyperlink ref="C4" r:id="rId1" display="https://www.imarcgroup.com/npk-fertiliser-pricing-report" xr:uid="{70E3A891-9004-4383-AC2C-F1D61A5C0BF3}"/>
    <hyperlink ref="C6" r:id="rId2" display="https://watershed.com/blog/open-ceda" xr:uid="{182A6A1F-54D9-46AE-A89A-6C1FE730BE2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CFAE1-BBDA-4D83-B305-9ABA03F704D1}">
  <ds:schemaRefs>
    <ds:schemaRef ds:uri="http://schemas.microsoft.com/sharepoint/v3/contenttype/forms"/>
  </ds:schemaRefs>
</ds:datastoreItem>
</file>

<file path=customXml/itemProps2.xml><?xml version="1.0" encoding="utf-8"?>
<ds:datastoreItem xmlns:ds="http://schemas.openxmlformats.org/officeDocument/2006/customXml" ds:itemID="{8823690A-85BF-4C4A-9C4C-417567B4A520}">
  <ds:schemaRefs>
    <ds:schemaRef ds:uri="c5df842b-3f6b-4868-a81f-900b989f5290"/>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3116918f-bd31-4626-bea1-4ae72685ba99"/>
    <ds:schemaRef ds:uri="http://www.w3.org/XML/1998/namespace"/>
    <ds:schemaRef ds:uri="http://purl.org/dc/dcmitype/"/>
  </ds:schemaRefs>
</ds:datastoreItem>
</file>

<file path=customXml/itemProps3.xml><?xml version="1.0" encoding="utf-8"?>
<ds:datastoreItem xmlns:ds="http://schemas.openxmlformats.org/officeDocument/2006/customXml" ds:itemID="{7B2341BA-ECEC-44F4-89CB-282ACCAA36B9}"/>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77</vt:i4>
      </vt:variant>
    </vt:vector>
  </HeadingPairs>
  <TitlesOfParts>
    <vt:vector size="86" baseType="lpstr">
      <vt:lpstr>Disclaimer</vt:lpstr>
      <vt:lpstr>Calculator</vt:lpstr>
      <vt:lpstr>Backend</vt:lpstr>
      <vt:lpstr>Uncertainty Analysis</vt:lpstr>
      <vt:lpstr>Sensitivity Analysis</vt:lpstr>
      <vt:lpstr>Reference Data</vt:lpstr>
      <vt:lpstr>First Order Effects</vt:lpstr>
      <vt:lpstr>Emission Factors</vt:lpstr>
      <vt:lpstr>Higher Order Effects</vt:lpstr>
      <vt:lpstr>_1st_order_effect___Totalcorn</vt:lpstr>
      <vt:lpstr>_1st_order_effect___Totalspring_wheat</vt:lpstr>
      <vt:lpstr>_1st_order_effect___Totalwinter_wheat</vt:lpstr>
      <vt:lpstr>'Higher Order Effects'!_Int_D7iP9qsx</vt:lpstr>
      <vt:lpstr>backend_Corn_fertiliser_base_direct_emissions</vt:lpstr>
      <vt:lpstr>corn_ha_reference</vt:lpstr>
      <vt:lpstr>corn_ha_solution</vt:lpstr>
      <vt:lpstr>corn_yield_reference</vt:lpstr>
      <vt:lpstr>corn_yield_solution</vt:lpstr>
      <vt:lpstr>electric_massflow_controller_embedded_emissions</vt:lpstr>
      <vt:lpstr>Electric_MassFlow_Controller_embedded_emissionscorn</vt:lpstr>
      <vt:lpstr>Electric_MassFlow_Controller_embedded_emissionsspring_wheat</vt:lpstr>
      <vt:lpstr>Electric_MassFlow_Controller_embedded_emissionswinter_wheat</vt:lpstr>
      <vt:lpstr>Electric_MassFlow_Controller_use_phase_emissionscorn</vt:lpstr>
      <vt:lpstr>Electric_MassFlow_Controller_use_phase_emissionsspring_wheat</vt:lpstr>
      <vt:lpstr>Electric_MassFlow_Controller_use_phase_emissionswinter_wheat</vt:lpstr>
      <vt:lpstr>Electric_MassFlow_Controllerefficiencuy</vt:lpstr>
      <vt:lpstr>end_of_life_emissions</vt:lpstr>
      <vt:lpstr>End_of_life_MassFlow_Controller_Emissions_corn</vt:lpstr>
      <vt:lpstr>End_of_life_MassFlow_Controller_Emissions_spring_wheat</vt:lpstr>
      <vt:lpstr>End_of_life_MassFlow_Controller_Emissions_winter_wheat</vt:lpstr>
      <vt:lpstr>fertiliser_base_direct_emissions_corn</vt:lpstr>
      <vt:lpstr>ha_winterwheat_reference</vt:lpstr>
      <vt:lpstr>ha_winterwheat_solution</vt:lpstr>
      <vt:lpstr>Indirect_Emissions_Step_2__leaching</vt:lpstr>
      <vt:lpstr>Indirect_Emissions_Step_2__volatilisation</vt:lpstr>
      <vt:lpstr>Monitor_use_phase_emissionscorn</vt:lpstr>
      <vt:lpstr>Monitor_use_phase_emissionsspring_wheat</vt:lpstr>
      <vt:lpstr>Monitor_use_phase_emissionswinter_wheat</vt:lpstr>
      <vt:lpstr>Monitorefficiency</vt:lpstr>
      <vt:lpstr>ReferenceAdditional_fertilise_use_indirect_emissionsCORN</vt:lpstr>
      <vt:lpstr>ReferenceAdditional_fertilise_use_indirect_emissionsSPRING_WHEAT</vt:lpstr>
      <vt:lpstr>ReferenceAdditional_fertiliser_use_direct_emissionsCORN</vt:lpstr>
      <vt:lpstr>ReferenceAdditional_fertiliser_use_direct_emissionsSPRING_WHEAT</vt:lpstr>
      <vt:lpstr>ReferenceFertiliser_Base_use_direct_emissionsSPRING_WHEAT</vt:lpstr>
      <vt:lpstr>ReferenceFertiliser_Base_use_direct_emissionsWINTER_WHEAT</vt:lpstr>
      <vt:lpstr>ReferenceFertiliser_Base_use_indirect_emissionsCORN</vt:lpstr>
      <vt:lpstr>ReferenceFertiliser_Base_use_indirect_emissionsSPRING_WHEAT</vt:lpstr>
      <vt:lpstr>ReferenceFertiliser_Base_use_indirect_emissionsWINTER_WHEAT</vt:lpstr>
      <vt:lpstr>ReferenceSecond_additional_fertilise_use_indirect_emissionsCORN</vt:lpstr>
      <vt:lpstr>ReferenceSecond_additional_fertiliser_use_direct_emissionsCORN</vt:lpstr>
      <vt:lpstr>referenceSum_of_all_fertiliser_emissions_CORN</vt:lpstr>
      <vt:lpstr>ReferenceSum_of_all_Fertiliser_EmissionsSPRING_WHEAT</vt:lpstr>
      <vt:lpstr>ReferenceTotal_Emissions_Additional_FertiliserCORN</vt:lpstr>
      <vt:lpstr>ReferenceTotal_Emissions_Additional_FertiliserSPRING_WHEAT</vt:lpstr>
      <vt:lpstr>ReferenceTotal_Emissions_Base_FertiliserCORN</vt:lpstr>
      <vt:lpstr>ReferenceTotal_Emissions_Base_FertiliserSPRING_WHEAT</vt:lpstr>
      <vt:lpstr>ReferenceTotal_Emissions_Base_FertiliserWINTER_WHEAT</vt:lpstr>
      <vt:lpstr>ReferenceTotal_emissions_second_additional_fertiliser_CORN</vt:lpstr>
      <vt:lpstr>ReferenceTotal_Fertiliser_per__hectar_emissionsCORN</vt:lpstr>
      <vt:lpstr>ReferenceTotal_Fertiliser_per__hectar_emissionsSPRING_WHEAT</vt:lpstr>
      <vt:lpstr>ReferenceTotal_Fertiliser_per__hectar_emissionsWINTER_WHEAT</vt:lpstr>
      <vt:lpstr>solutionAdditional_fertilise_use_indirect_emissionsCORN</vt:lpstr>
      <vt:lpstr>solutionAdditional_fertilise_use_indirect_emissionsSPRING_WHEAT</vt:lpstr>
      <vt:lpstr>solutionAdditional_fertiliser_use_direct_emissionsCORN</vt:lpstr>
      <vt:lpstr>solutionAdditional_fertiliser_use_direct_emissionsSPRING_WHEAT</vt:lpstr>
      <vt:lpstr>solutionFertiliser_Base_use_direct_emissions_CORN</vt:lpstr>
      <vt:lpstr>solutionFertiliser_Base_use_direct_emissionsSPRING_WHEAT</vt:lpstr>
      <vt:lpstr>solutionFertiliser_Base_use_direct_emissionsWINTER_WHEAT</vt:lpstr>
      <vt:lpstr>solutionFertiliser_Base_use_indirect_emissionsSPRING_WHEAT</vt:lpstr>
      <vt:lpstr>solutionFertiliser_Base_use_indirect_emissionsWINTER_WHEAT</vt:lpstr>
      <vt:lpstr>solutionSecond_additional_fertilise_use_indirect_emissionsCORN</vt:lpstr>
      <vt:lpstr>solutionSecond_additional_fertiliser_use_direct_emissionsCORN</vt:lpstr>
      <vt:lpstr>solutionSum_of_all_Fertiliser_EmissionsCORN</vt:lpstr>
      <vt:lpstr>solutionSum_of_all_Fertiliser_EmissionsSPRING_WHEAT</vt:lpstr>
      <vt:lpstr>solutionTotal_Emissions_Additional_FertiliserCORN</vt:lpstr>
      <vt:lpstr>solutionTotal_Emissions_Additional_FertiliserSPRING_WHEAT</vt:lpstr>
      <vt:lpstr>solutionTotal_Emissions_Base_FertiliserCORN</vt:lpstr>
      <vt:lpstr>solutionTotal_Emissions_Base_FertiliserSPRING_WHEAT</vt:lpstr>
      <vt:lpstr>solutionTotal_Emissions_Base_FertiliserWINTER_WHEAT</vt:lpstr>
      <vt:lpstr>solutionTotal_Emissions_Second_Additional_FertiliserCORN</vt:lpstr>
      <vt:lpstr>solutionTotal_Fertiliser_per__hectar_emissionsCORN</vt:lpstr>
      <vt:lpstr>solutionTotal_Fertiliser_per__hectar_emissionsSPRING_WHEAT</vt:lpstr>
      <vt:lpstr>solutionTotal_Fertiliser_per__hectar_emissionsWINTER_WHEAT</vt:lpstr>
      <vt:lpstr>solutonFertiliser_Base_use_indirect_emissionsCORN</vt:lpstr>
      <vt:lpstr>yield_winterwheat_reference</vt:lpstr>
      <vt:lpstr>yield_winterwheat_solution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Felix Prettejohn</cp:lastModifiedBy>
  <cp:revision/>
  <dcterms:created xsi:type="dcterms:W3CDTF">2021-03-04T12:00:57Z</dcterms:created>
  <dcterms:modified xsi:type="dcterms:W3CDTF">2026-04-30T17:29:52Z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