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mc:AlternateContent xmlns:mc="http://schemas.openxmlformats.org/markup-compatibility/2006">
    <mc:Choice Requires="x15">
      <x15ac:absPath xmlns:x15ac="http://schemas.microsoft.com/office/spreadsheetml/2010/11/ac" url="https://carbontrust.sharepoint.com/sites/Project-EUCommission-EGDCMovestoAction-Aug24/Shared Documents/General/3. Working Documents/Task 2 - Case Studies/4. Case Study Development/2. Batch 2 - Oct 2025/7. SAWACO/4. Calculator/"/>
    </mc:Choice>
  </mc:AlternateContent>
  <xr:revisionPtr revIDLastSave="1705" documentId="8_{BF648C42-2783-4AB8-B995-FB253D5093DC}" xr6:coauthVersionLast="47" xr6:coauthVersionMax="47" xr10:uidLastSave="{BEBDADDC-7955-4885-9447-13749E3FC7E3}"/>
  <bookViews>
    <workbookView xWindow="28680" yWindow="-120" windowWidth="29040" windowHeight="15720" firstSheet="7" activeTab="1" xr2:uid="{50AB8457-1330-4B07-A06A-DC3D8B4155AC}"/>
  </bookViews>
  <sheets>
    <sheet name="Disclaimer" sheetId="20" r:id="rId1"/>
    <sheet name="Calculator" sheetId="9" r:id="rId2"/>
    <sheet name="Backend" sheetId="10" r:id="rId3"/>
    <sheet name="Uncertainty Analysis" sheetId="18" r:id="rId4"/>
    <sheet name="Sensitivity Analysis" sheetId="19" r:id="rId5"/>
    <sheet name="Data Electricity&amp;Water" sheetId="25" r:id="rId6"/>
    <sheet name="First Order Effects" sheetId="24" r:id="rId7"/>
    <sheet name="Assumptions" sheetId="26" r:id="rId8"/>
    <sheet name="Emission Factors" sheetId="22" r:id="rId9"/>
  </sheets>
  <definedNames>
    <definedName name="AnnualNetAvoidedEmissions">Backend!$N$24</definedName>
    <definedName name="EFelectricitySaudiArabia">'Emission Factors'!$C$5:$C$5</definedName>
    <definedName name="EFelectricityUK">'Emission Factors'!$C$5:$C$5</definedName>
    <definedName name="ElectricityConsumptionAItraining">Backend!$E$26</definedName>
    <definedName name="ElectricityFromFirstOrderEffects">Backend!$N$13</definedName>
    <definedName name="EmissionsComputerAItraining">Backend!$E$32</definedName>
    <definedName name="EmissionsComputerinclembodied">Backend!$E$22</definedName>
    <definedName name="EmissionsSolutionAfter">Backend!$N$9</definedName>
    <definedName name="EmissionsSolutionBefore">Backend!$N$6</definedName>
    <definedName name="FirstOrderEffectsEmissions">Backend!$N$16</definedName>
    <definedName name="SecondOrderEffectsEmissions">Backend!$N$20</definedName>
    <definedName name="UsePhaseEmissionsAnnualNetworkAppliance">Backend!$E$33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 i="10" l="1"/>
  <c r="C26" i="24"/>
  <c r="C25" i="24"/>
  <c r="E23" i="10" s="1"/>
  <c r="C24" i="24"/>
  <c r="E13" i="24"/>
  <c r="B13" i="24" s="1"/>
  <c r="E22" i="10" s="1"/>
  <c r="E32" i="10" s="1"/>
  <c r="C5" i="19"/>
  <c r="D5" i="19"/>
  <c r="E5" i="19"/>
  <c r="I5" i="19"/>
  <c r="J5" i="19"/>
  <c r="C6" i="19"/>
  <c r="D6" i="19"/>
  <c r="E6" i="19"/>
  <c r="I6" i="19"/>
  <c r="J6" i="19"/>
  <c r="O6" i="19"/>
  <c r="C7" i="19"/>
  <c r="D7" i="19"/>
  <c r="O7" i="19"/>
  <c r="C8" i="19"/>
  <c r="D8" i="19"/>
  <c r="O8" i="19"/>
  <c r="C9" i="19"/>
  <c r="D9" i="19"/>
  <c r="O9" i="19"/>
  <c r="C10" i="19"/>
  <c r="D10" i="19"/>
  <c r="O10" i="19"/>
  <c r="C11" i="19"/>
  <c r="D11" i="19"/>
  <c r="O11" i="19"/>
  <c r="I56" i="9"/>
  <c r="E18" i="10"/>
  <c r="E17" i="10"/>
  <c r="I54" i="9"/>
  <c r="E4" i="10"/>
  <c r="E15" i="10" s="1"/>
  <c r="E19" i="10" l="1"/>
  <c r="N13" i="10" l="1"/>
  <c r="N14" i="10"/>
  <c r="N15" i="10"/>
  <c r="E11" i="18"/>
  <c r="P15" i="18"/>
  <c r="C39" i="9"/>
  <c r="C38" i="9"/>
  <c r="C37" i="9"/>
  <c r="E16" i="10"/>
  <c r="E12" i="10"/>
  <c r="E11" i="10"/>
  <c r="E24" i="10"/>
  <c r="N15" i="18"/>
  <c r="E9" i="10" l="1"/>
  <c r="M6" i="10" a="1"/>
  <c r="M6" i="10" s="1"/>
  <c r="E10" i="10"/>
  <c r="M9" i="10" a="1"/>
  <c r="M9" i="10" s="1"/>
  <c r="C45" i="9"/>
  <c r="N16" i="10"/>
  <c r="P18" i="18"/>
  <c r="E9" i="19" s="1"/>
  <c r="P16" i="18"/>
  <c r="E7" i="19" s="1"/>
  <c r="P19" i="18"/>
  <c r="E10" i="19" s="1"/>
  <c r="P20" i="18"/>
  <c r="E11" i="19" s="1"/>
  <c r="N20" i="18"/>
  <c r="N19" i="18"/>
  <c r="N18" i="18"/>
  <c r="N17" i="18"/>
  <c r="N16" i="18"/>
  <c r="M15" i="18"/>
  <c r="K15" i="18"/>
  <c r="L15" i="18"/>
  <c r="J15" i="18"/>
  <c r="E36" i="9"/>
  <c r="E35" i="9"/>
  <c r="B36" i="9"/>
  <c r="B35" i="9"/>
  <c r="D6" i="18"/>
  <c r="I11" i="19" l="1"/>
  <c r="J11" i="19"/>
  <c r="I10" i="19"/>
  <c r="J10" i="19"/>
  <c r="I7" i="19"/>
  <c r="J7" i="19"/>
  <c r="M20" i="10"/>
  <c r="E35" i="10" s="1"/>
  <c r="M35" i="10" s="1"/>
  <c r="I9" i="19"/>
  <c r="J9" i="19"/>
  <c r="E5" i="18"/>
  <c r="E13" i="10"/>
  <c r="E14" i="10"/>
  <c r="E6" i="18"/>
  <c r="O15" i="18"/>
  <c r="M14" i="10" l="1"/>
  <c r="M13" i="10"/>
  <c r="M15" i="10"/>
  <c r="M16" i="10"/>
  <c r="E36" i="10"/>
  <c r="M24" i="10"/>
  <c r="M36" i="10"/>
  <c r="E8" i="10"/>
  <c r="N9" i="10" s="1" a="1"/>
  <c r="N9" i="10" s="1"/>
  <c r="E7" i="10"/>
  <c r="C44" i="9"/>
  <c r="P17" i="18"/>
  <c r="E8" i="19" s="1"/>
  <c r="C43" i="9"/>
  <c r="R15" i="18"/>
  <c r="Q15" i="18"/>
  <c r="D9" i="18"/>
  <c r="J17" i="18"/>
  <c r="K17" i="18"/>
  <c r="L17" i="18"/>
  <c r="M17" i="18"/>
  <c r="J18" i="18"/>
  <c r="K18" i="18"/>
  <c r="L18" i="18"/>
  <c r="M18" i="18"/>
  <c r="J19" i="18"/>
  <c r="K19" i="18"/>
  <c r="L19" i="18"/>
  <c r="M19" i="18"/>
  <c r="O19" i="18" s="1"/>
  <c r="J20" i="18"/>
  <c r="K20" i="18"/>
  <c r="L20" i="18"/>
  <c r="M20" i="18"/>
  <c r="O20" i="18" s="1"/>
  <c r="K16" i="18"/>
  <c r="L16" i="18"/>
  <c r="M16" i="18"/>
  <c r="J16" i="18"/>
  <c r="N6" i="10" l="1" a="1"/>
  <c r="N6" i="10" s="1"/>
  <c r="N20" i="10" s="1"/>
  <c r="N24" i="10" s="1"/>
  <c r="N25" i="10" s="1"/>
  <c r="I8" i="19"/>
  <c r="K8" i="19" s="1"/>
  <c r="M8" i="19" s="1"/>
  <c r="J8" i="19"/>
  <c r="L8" i="19" s="1"/>
  <c r="N8" i="19" s="1"/>
  <c r="K11" i="19"/>
  <c r="M11" i="19" s="1"/>
  <c r="L11" i="19"/>
  <c r="N11" i="19" s="1"/>
  <c r="K10" i="19"/>
  <c r="M10" i="19" s="1"/>
  <c r="L10" i="19"/>
  <c r="N10" i="19" s="1"/>
  <c r="K6" i="19"/>
  <c r="M6" i="19" s="1"/>
  <c r="L6" i="19"/>
  <c r="N6" i="19" s="1"/>
  <c r="K7" i="19"/>
  <c r="M7" i="19" s="1"/>
  <c r="L7" i="19"/>
  <c r="N7" i="19" s="1"/>
  <c r="L9" i="19"/>
  <c r="N9" i="19" s="1"/>
  <c r="K9" i="19"/>
  <c r="M9" i="19" s="1"/>
  <c r="C47" i="9"/>
  <c r="C49" i="9"/>
  <c r="C48" i="9"/>
  <c r="E37" i="10"/>
  <c r="M25" i="10"/>
  <c r="O18" i="18"/>
  <c r="E9" i="18"/>
  <c r="E10" i="18" s="1"/>
  <c r="O16" i="18"/>
  <c r="O17" i="18"/>
  <c r="R20" i="18"/>
  <c r="R19" i="18"/>
  <c r="C46" i="9"/>
  <c r="Q19" i="18"/>
  <c r="D5" i="18"/>
  <c r="M37" i="10" l="1"/>
  <c r="Q20" i="18"/>
  <c r="R16" i="18"/>
  <c r="G6" i="18" s="1"/>
  <c r="Q16" i="18"/>
  <c r="F6" i="18" s="1"/>
  <c r="R17" i="18" l="1"/>
  <c r="G9" i="18" s="1"/>
  <c r="Q17" i="18"/>
  <c r="F9" i="18" s="1"/>
  <c r="R18" i="18" l="1"/>
  <c r="G5" i="18" s="1"/>
  <c r="G10" i="18" s="1"/>
  <c r="C51" i="9" s="1"/>
  <c r="I63" i="9" s="1"/>
  <c r="Q18" i="18"/>
  <c r="G11" i="18" l="1"/>
  <c r="F5" i="18"/>
  <c r="F10" i="18" s="1"/>
  <c r="C52" i="9" s="1"/>
  <c r="J63" i="9" s="1"/>
  <c r="F11" i="1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<sst xmlns="http://schemas.openxmlformats.org/spreadsheetml/2006/main" count="508" uniqueCount="317">
  <si>
    <t>Disclaimer for European Parliament Pilot Project – European Green Digital Coalition (EGDC) Case Studies</t>
  </si>
  <si>
    <t>The following disclaimer is intended to provide clarity and context for the case studies prepared as part of the Phase 2 - EGDC Moves to Action, which have showcased the net carbon impact of specific digital solutions using the EGDC ICT Methodology developed during the project:</t>
  </si>
  <si>
    <t>1. Purpose of the Case Studies:</t>
  </si>
  <si>
    <t>The case studies served multiple purposes, including:</t>
  </si>
  <si>
    <r>
      <t>1. Development of the Methodology:</t>
    </r>
    <r>
      <rPr>
        <sz val="10"/>
        <color theme="1"/>
        <rFont val="Lora"/>
      </rPr>
      <t xml:space="preserve"> They contributed to the development of the EGDC ICT Methodology. These case studies were conducted concurrently with the methodology's creation and served as a valuable testing ground for its initial formulation.</t>
    </r>
  </si>
  <si>
    <r>
      <t>2. Application Examples:</t>
    </r>
    <r>
      <rPr>
        <sz val="10"/>
        <color theme="1"/>
        <rFont val="Lora"/>
      </rPr>
      <t xml:space="preserve"> They provided practical examples of how the methodology can be applied to real-life use cases. These case studies were essential in demonstrating the practicality and effectiveness of the methodology when applied to concrete situations.</t>
    </r>
  </si>
  <si>
    <r>
      <t>3. Identification of Improvement Areas:</t>
    </r>
    <r>
      <rPr>
        <sz val="10"/>
        <color theme="1"/>
        <rFont val="Lora"/>
      </rPr>
      <t xml:space="preserve"> By conducting these case studies, we aimed to highlight parts of the calculation in need of improvement. They shed light on the challenges and limitations inherent in using available data and indicated the necessary steps to move towards best practices in assessing net carbon impacts.</t>
    </r>
  </si>
  <si>
    <t>2. Data Quality as a Key Determinant:</t>
  </si>
  <si>
    <t>It is imperative to emphasize that data quality is a fundamental determinant of the quality and reliability of the case studies. The accuracy and completeness of the data used significantly influence the outcomes and findings of these case studies.</t>
  </si>
  <si>
    <t>It is essential to acknowledge that the data available for each case study may differ in terms of accuracy, granularity, and coverage. As a result, the case studies may not necessarily represent the best practice application of the EGDC ICT Methodology. Instead, they reflect the application of the methodology at various stages of data availability.</t>
  </si>
  <si>
    <t>3. Liability for Errors/Omissions:</t>
  </si>
  <si>
    <t>While reasonable steps have been taken to ensure that the information contained within the case studies is correct, the EGDC gives no warranty and makes no representation as to its accuracy. We accept no liability for any errors or omissions that may be present in the case studies, methodology, or related information. Users and readers are advised to exercise their judgment and seek further clarification if needed, as the information provided may evolve over time and depend on external factors beyond our control.</t>
  </si>
  <si>
    <t>4. Appropriate Use of the Case Study Calculators:</t>
  </si>
  <si>
    <t>The case study calculators are intended for educational and informational purposes. They rely on certain assumptions and input data to generate results.</t>
  </si>
  <si>
    <t>The results of the calculators are specific to the implementation of the ICT solution and may not be representative for other implementation contexts.</t>
  </si>
  <si>
    <t>As such, it is imperative for users to refrain from directly extrapolating these results to ICT solutions or implementation contexts that may seem conceptually similar.</t>
  </si>
  <si>
    <t>Instead, users are advised to use the calculators as a means to understand the practical application of the EGDC ICT Methodology, thereby equipping themselves with the knowledge required to develop customized calculators specifically tailored to their unique ICT solutions and implementation circumstances.</t>
  </si>
  <si>
    <t>In conclusion, these case studies provide valuable insights into the calculation of the net carbon impact of digital solutions through the practical application of the EGDC ICT Methodology. However, it is vital to exercise caution when interpreting the results, considering the variances in data quality and the evolving nature of the methodology. The findings are indicative of the methodology's potential and its room for refinement as we work towards more accurate and comprehensive assessments of net carbon impacts.</t>
  </si>
  <si>
    <t>Contact email</t>
  </si>
  <si>
    <t>awadi@sawaco.com</t>
  </si>
  <si>
    <t>Website</t>
  </si>
  <si>
    <t>https://www.sawaco.com</t>
  </si>
  <si>
    <t>Overview</t>
  </si>
  <si>
    <t>Description: The AI Digital Platform for SWRO is a cloud-based software tool designed to enhance the performance and efficiency of seawater reverse osmosis (SWRO) desalination plants. It connects directly with the plant's existing SCADA System, allowing it to monitor, store, and analyse real-life data from key instruments. The AI system acts as a digital assistant for operators, analysing live data to detect patterns and predict system behaviour. It makes recommendations to maintain ideal operating conditions, reduce energy use, protect equipment, extend lifetime and maximise water production. For example, it may suggest reducing feed pressure if higher than necessary or alert teams to membrane fouling risk.</t>
  </si>
  <si>
    <t>Scenarios</t>
  </si>
  <si>
    <t>Reference Scenario(s)</t>
  </si>
  <si>
    <t>Under normal conditions without the AI, plants rely on manual monitoring, operator experience and fixed settings. While functional, this approach limits efficiency, increases costs, carbon footprint and affects long-term performance.</t>
  </si>
  <si>
    <t>Solution Scenario(s)</t>
  </si>
  <si>
    <t>The solution uses AI‑powered settings developed to reduce the electricity consumption of seawater desalination plants. Desalination plants use large pumps and high pressure to desalinate seawater; this process consumes a significant amount of electricity.
The AI model was tested on SAWACO’s CFRO + BWRO desalination unit. The objective was to minimize total power consumption while maintaining stable plant performance.
The system analysed historical operational data to understand how different controllable parameters—such as pump pressure, brine flow, and recirculation rates—affect electricity consumption. Using predictive analytics and optimization algorithms, the AI generated recommendations for new operating setpoints that require less energy.
These recommendations were implemented at the plant, resulting in a reduction in specific energy consumption (kWh per cubic meter of water produced). The results demonstrate that meaningful energy savings can be achieved by intelligently adjusting operational parameters, without any changes to physical equipment.</t>
  </si>
  <si>
    <t>Functional Unit</t>
  </si>
  <si>
    <t>gCO₂e per m³ of potable water produced per year</t>
  </si>
  <si>
    <t>Context</t>
  </si>
  <si>
    <t>Implementation Context</t>
  </si>
  <si>
    <t>Country</t>
  </si>
  <si>
    <t>Saudi Arabia</t>
  </si>
  <si>
    <t>City</t>
  </si>
  <si>
    <t>Jeddah</t>
  </si>
  <si>
    <t>Average feed water temperature (°Celsius)</t>
  </si>
  <si>
    <t>Average feed water Conductivity (μS)</t>
  </si>
  <si>
    <t>Average silt density (SDI Index)</t>
  </si>
  <si>
    <t>Time period for the assessment</t>
  </si>
  <si>
    <t>Other</t>
  </si>
  <si>
    <t>First membrane cleaning in place (CIP) date : 24-06-2023
Second membrane cleaning in place (CIP) date : 19-10-2023
Third membrane cleaning in place (CIP) date : 04-05-2024
Fourth membrane cleaning in place (CIP) date : 01-04-2025
Fifth membrane cleaning in place (CIP) date : 06-06-2025</t>
  </si>
  <si>
    <t>Inputs</t>
  </si>
  <si>
    <t>Required Inputs</t>
  </si>
  <si>
    <t>Potable Water Produced (m3)</t>
  </si>
  <si>
    <t>Optional Adjustments</t>
  </si>
  <si>
    <t>Defaults</t>
  </si>
  <si>
    <t>Manual Override (add value)</t>
  </si>
  <si>
    <t>Water temperature</t>
  </si>
  <si>
    <t>Celsius</t>
  </si>
  <si>
    <t>Water conductivity</t>
  </si>
  <si>
    <t>μS</t>
  </si>
  <si>
    <t>SDI Index</t>
  </si>
  <si>
    <t>Please note that factors including water temperature, conductivity and silt density are not direct calculations inputs, however, if they change it may impact the results of the solution and therefore, the results should be interpreted with this context.</t>
  </si>
  <si>
    <t>Results</t>
  </si>
  <si>
    <t>Annual Energy before the solution was implemented</t>
  </si>
  <si>
    <t>kWh</t>
  </si>
  <si>
    <t>Annual Energy Consumption after the solution was implemented</t>
  </si>
  <si>
    <t>Annual Energy Consumption from the solution (1st order effects' energy consumption)</t>
  </si>
  <si>
    <t>% of energy savings through use of solution</t>
  </si>
  <si>
    <t>%</t>
  </si>
  <si>
    <t>Total carbon savings enabled</t>
  </si>
  <si>
    <t xml:space="preserve">tCO2e </t>
  </si>
  <si>
    <t>Carbon savings enablement factor</t>
  </si>
  <si>
    <t>kgCO2e/m3 of potable water produced annually</t>
  </si>
  <si>
    <t>Annual Net Avoided Emissions (tCO2e)</t>
  </si>
  <si>
    <t>tCO2e / year</t>
  </si>
  <si>
    <t>Uncertainty Analysis Results</t>
  </si>
  <si>
    <t>Total carbon savings enabled (lower range)</t>
  </si>
  <si>
    <t>tCO2e</t>
  </si>
  <si>
    <t>Total carbon savings enabled (higher range)</t>
  </si>
  <si>
    <t>Period scale (if override dates set)</t>
  </si>
  <si>
    <t>Metric</t>
  </si>
  <si>
    <t>Lower range</t>
  </si>
  <si>
    <t>Higher range</t>
  </si>
  <si>
    <t>Total carbon savings enabled (tCO2e)</t>
  </si>
  <si>
    <t>Calculation</t>
  </si>
  <si>
    <t>Explanation/Notes</t>
  </si>
  <si>
    <t>Unit</t>
  </si>
  <si>
    <t>Value</t>
  </si>
  <si>
    <t>Reference Scenario</t>
  </si>
  <si>
    <t>Potable water produced (solution scenario)</t>
  </si>
  <si>
    <t>m3</t>
  </si>
  <si>
    <t>#1</t>
  </si>
  <si>
    <t>Calculation Step</t>
  </si>
  <si>
    <t>Formula (Written Out)</t>
  </si>
  <si>
    <t>Dimensional Analysis</t>
  </si>
  <si>
    <t>Unit (per m³)</t>
  </si>
  <si>
    <t>Value (per m³)</t>
  </si>
  <si>
    <t>Annual total (Value)</t>
  </si>
  <si>
    <t>Emissions from energy used before the solution (per m³)</t>
  </si>
  <si>
    <t>Electricity consumption (kWh/m³) × EF for electricity Saudi Arabia</t>
  </si>
  <si>
    <t>(kWh/m³) × (kgCO2e/kWh)</t>
  </si>
  <si>
    <t>kgCO2e/m3</t>
  </si>
  <si>
    <t>Baseline Electricity Consumption (adjusted &amp; annualised)</t>
  </si>
  <si>
    <t>Annual Value - extrapolated</t>
  </si>
  <si>
    <t>Solution Scenario</t>
  </si>
  <si>
    <t>Scenario Electricity Consumption (annualised)</t>
  </si>
  <si>
    <r>
      <rPr>
        <sz val="11"/>
        <color rgb="FF000000"/>
        <rFont val="Lora"/>
      </rPr>
      <t>Baseline Electricity Consumption -</t>
    </r>
    <r>
      <rPr>
        <b/>
        <sz val="11"/>
        <color rgb="FF000000"/>
        <rFont val="Lora"/>
      </rPr>
      <t xml:space="preserve"> adjusted to the same amount of water produced as in the solution scenario</t>
    </r>
  </si>
  <si>
    <t>From 01-Jan-2024 to 20-Nov-2024, measured</t>
  </si>
  <si>
    <t>Emissions from energy used after the solution (per m³)</t>
  </si>
  <si>
    <t xml:space="preserve">Scenario Electricity Consumption  </t>
  </si>
  <si>
    <t>Baseline Electricity Consumption</t>
  </si>
  <si>
    <t xml:space="preserve">VFD's energy reading </t>
  </si>
  <si>
    <t>kWh/m3</t>
  </si>
  <si>
    <t>First Order Effects - Solution Emissions</t>
  </si>
  <si>
    <t xml:space="preserve">Scenario Electricity Consumption </t>
  </si>
  <si>
    <t>#2</t>
  </si>
  <si>
    <t>Potable water produced (solution scenario, annualised)</t>
  </si>
  <si>
    <t>Based on magnetic flow meter, annualised</t>
  </si>
  <si>
    <t>Total - Electricity Used (kWh/m³) first order effects</t>
  </si>
  <si>
    <t>1st order electricity (kWh/year) ÷ annual m³ (solution scenario)</t>
  </si>
  <si>
    <t>(kWh/year) ÷ (m³/year)</t>
  </si>
  <si>
    <t>Potable water produced (reference scenario, annualised)</t>
  </si>
  <si>
    <t>AI training electricity emissions (per m³)</t>
  </si>
  <si>
    <t>AI training emissions (kgCO2e/year) ÷ annual m³ (solution scenario)</t>
  </si>
  <si>
    <t>(kgCO2e/year) ÷ (m³/year)</t>
  </si>
  <si>
    <t>Magnetic flow meter</t>
  </si>
  <si>
    <t>Laptop proxy emissions (per m³)</t>
  </si>
  <si>
    <t>Laptop proxy emissions (kgCO2e/year) ÷ annual m³ (solution scenario)</t>
  </si>
  <si>
    <t>Potable water produced (reference scenario)</t>
  </si>
  <si>
    <t>Total emissions - First order effects (per m³)</t>
  </si>
  <si>
    <t>Total 1st order emissions (kgCO2e/year) ÷ annual m³ (solution scenario)</t>
  </si>
  <si>
    <t>Data period start</t>
  </si>
  <si>
    <t>date</t>
  </si>
  <si>
    <t>Data period end</t>
  </si>
  <si>
    <t>Second order effects - avoided emissions</t>
  </si>
  <si>
    <t>Number of days for electricity measurement</t>
  </si>
  <si>
    <t>1.01.2024-20.11.2024</t>
  </si>
  <si>
    <t>days</t>
  </si>
  <si>
    <t>#3</t>
  </si>
  <si>
    <t>Avoided emissions (per m³)</t>
  </si>
  <si>
    <t>Baseline emissions (kgCO2e/m³) − Solution emissions (kgCO2e/m³)</t>
  </si>
  <si>
    <t>(kgCO2e/m³) − (kgCO2e/m³)</t>
  </si>
  <si>
    <t>Data</t>
  </si>
  <si>
    <t>Emissions related to the computer (embodied emisssions + use phase + end of life) (kgCO2e)</t>
  </si>
  <si>
    <t>kgCO2e</t>
  </si>
  <si>
    <t>Net avoided emissions</t>
  </si>
  <si>
    <t>Emissions related to the use of comuter (data processing) during an AI training</t>
  </si>
  <si>
    <t>#4</t>
  </si>
  <si>
    <t>AI training period (days)</t>
  </si>
  <si>
    <t>Net avoided emissions (per m³)</t>
  </si>
  <si>
    <t>1st order emissions (kgCO2e/m³) − avoided emissions (kgCO2e/m³)</t>
  </si>
  <si>
    <t>AI training period (hours)</t>
  </si>
  <si>
    <t>hours</t>
  </si>
  <si>
    <t>Net avoided emissions (tCO2e per m³)</t>
  </si>
  <si>
    <t>Net avoided emissions (kgCO2e/m³) ÷ 1000</t>
  </si>
  <si>
    <t>(kgCO2e/m³) ÷ 1000</t>
  </si>
  <si>
    <t>tCO2e/m3</t>
  </si>
  <si>
    <t>Electricity consumption related to the AI training</t>
  </si>
  <si>
    <t>Emission Factors</t>
  </si>
  <si>
    <t>Emission Factors tab</t>
  </si>
  <si>
    <t>Emission Factor</t>
  </si>
  <si>
    <t>Source</t>
  </si>
  <si>
    <t>Electricity Grid - Saudi Arabia</t>
  </si>
  <si>
    <t>Saudi Electricity Company - Emission Factor</t>
  </si>
  <si>
    <t>kgCO2e/kWh</t>
  </si>
  <si>
    <t>Laptop life cycle emissions (proxy) per training (from Data)</t>
  </si>
  <si>
    <t>Apple</t>
  </si>
  <si>
    <t>kgCO2e/device/over a training period</t>
  </si>
  <si>
    <t>Functional unit outputs (per m³)</t>
  </si>
  <si>
    <t>ΔkWh/m³ × EF</t>
  </si>
  <si>
    <t>(kWh/m3)*kgCO2e/kWh</t>
  </si>
  <si>
    <t>First order effects (per m³)</t>
  </si>
  <si>
    <t>1st order annual / annual m³</t>
  </si>
  <si>
    <t>Net annual / annual m³</t>
  </si>
  <si>
    <t>Uncertainty Analysis</t>
  </si>
  <si>
    <t xml:space="preserve">This analysis assesses the uncertainty in the quality of the data inputs.
</t>
  </si>
  <si>
    <t>Impact effect</t>
  </si>
  <si>
    <t>Description of effect</t>
  </si>
  <si>
    <t>Input data</t>
  </si>
  <si>
    <t>Input data with SD (higher range)</t>
  </si>
  <si>
    <t>Input data with SD (lower range)</t>
  </si>
  <si>
    <t>Emissions (kgCO2e)</t>
  </si>
  <si>
    <t xml:space="preserve">1st order </t>
  </si>
  <si>
    <t>Other 1st order effects (n/a)</t>
  </si>
  <si>
    <t xml:space="preserve">2nd order </t>
  </si>
  <si>
    <t>Error values (tCO2e)</t>
  </si>
  <si>
    <t>Qualitative Assessment of Data Quality</t>
  </si>
  <si>
    <t>Uncertainty scaling factors</t>
  </si>
  <si>
    <t>Impact of Uncertainty on Net Carbon Impact (kgCO2e)</t>
  </si>
  <si>
    <t>Data type</t>
  </si>
  <si>
    <t>Activity</t>
  </si>
  <si>
    <t xml:space="preserve">Time </t>
  </si>
  <si>
    <t>Geography</t>
  </si>
  <si>
    <t xml:space="preserve">Reliability </t>
  </si>
  <si>
    <t>Completeness</t>
  </si>
  <si>
    <t>SD</t>
  </si>
  <si>
    <t>Activity Data</t>
  </si>
  <si>
    <t>Computer (AI training device)</t>
  </si>
  <si>
    <t>Fair</t>
  </si>
  <si>
    <t>AI training electricity consumption</t>
  </si>
  <si>
    <t xml:space="preserve">Good </t>
  </si>
  <si>
    <t>Very good</t>
  </si>
  <si>
    <t xml:space="preserve"> electricity reduction (annual)</t>
  </si>
  <si>
    <t>Emission factors</t>
  </si>
  <si>
    <t>Laptop emissions (proxy) per training</t>
  </si>
  <si>
    <t>Electricity grid EF (for AI training)</t>
  </si>
  <si>
    <t>Electricity grid EF (for avoided emissions)</t>
  </si>
  <si>
    <t>Data quality criteria and scoring</t>
  </si>
  <si>
    <t>Data Quality Criteria</t>
  </si>
  <si>
    <t>Very Good</t>
  </si>
  <si>
    <t>Good</t>
  </si>
  <si>
    <t>Poor</t>
  </si>
  <si>
    <r>
      <rPr>
        <b/>
        <sz val="11"/>
        <color rgb="FF000000"/>
        <rFont val="Lora"/>
      </rPr>
      <t xml:space="preserve">Technological representativeness: </t>
    </r>
    <r>
      <rPr>
        <sz val="11"/>
        <color rgb="FF000000"/>
        <rFont val="Lora"/>
      </rPr>
      <t>Confirm that the data aligns with the technology used in the solution</t>
    </r>
  </si>
  <si>
    <t xml:space="preserve">Data is broken down into all key factors that drive emissions e.g., a complete LCA of each of the solution components </t>
  </si>
  <si>
    <t>Data is well described at a high level e.g., materials used and weights in each component has been provided</t>
  </si>
  <si>
    <t>Data is generic e.g., data on similar components has been used</t>
  </si>
  <si>
    <t>Proxy data only so estimates / assumptions have been used</t>
  </si>
  <si>
    <r>
      <t xml:space="preserve">Temporal representativeness: </t>
    </r>
    <r>
      <rPr>
        <sz val="11"/>
        <color theme="1"/>
        <rFont val="Lora"/>
      </rPr>
      <t>Assess how old the data is and if it is representative to the solution implementation context</t>
    </r>
  </si>
  <si>
    <t>Data used is specific to the case study and covers entire relevant time period</t>
  </si>
  <si>
    <t>Some data is from other years but more than 50% is from relevant time period</t>
  </si>
  <si>
    <t>Data is relevant for for less than 50% of time period</t>
  </si>
  <si>
    <t xml:space="preserve">Data is not relevant to the time period </t>
  </si>
  <si>
    <r>
      <t xml:space="preserve">Geographical representativeness: </t>
    </r>
    <r>
      <rPr>
        <sz val="11"/>
        <color theme="1"/>
        <rFont val="Lora"/>
      </rPr>
      <t>Assess whether the data used is specific to the  location and context of the solution implementation.</t>
    </r>
  </si>
  <si>
    <t>All data used is specific to the geography of the case study implementation context</t>
  </si>
  <si>
    <t xml:space="preserve">Some data is from other geographies but more than 50% is specific to the geography of the case study implementation context </t>
  </si>
  <si>
    <t>Data specific to the geography of the case study implementation context accounts for less than 50% of data</t>
  </si>
  <si>
    <t>Data is not relevant to the geography of the case study</t>
  </si>
  <si>
    <r>
      <t xml:space="preserve">Completeness: </t>
    </r>
    <r>
      <rPr>
        <sz val="11"/>
        <color theme="1"/>
        <rFont val="Lora"/>
      </rPr>
      <t>Assess whether the data contains all relevant data or whether estimates or assumptions have been used to account for missing data</t>
    </r>
  </si>
  <si>
    <t>Full dataset - no missing data / extrapolation</t>
  </si>
  <si>
    <t>Significant sample / good representation of data period</t>
  </si>
  <si>
    <t>Small sample / Incomplete coverage, use of reasonable/data backed assumptions to fill data gaps</t>
  </si>
  <si>
    <t>Small sample / Incomplete coverage / data gaps filled with assumptions not backed by data</t>
  </si>
  <si>
    <r>
      <t xml:space="preserve">Reliability of source: </t>
    </r>
    <r>
      <rPr>
        <sz val="11"/>
        <color theme="1"/>
        <rFont val="Lora"/>
      </rPr>
      <t>Consider the source of the data and how reliable this is</t>
    </r>
  </si>
  <si>
    <t>Primary measured data / Publicly available from an internationally renowned source</t>
  </si>
  <si>
    <t>Publicly available with transparent high-quality methods / Primary survey data with high-quality methods</t>
  </si>
  <si>
    <t>Secondary data and proxies that are justified by strong evidence/reliable sources</t>
  </si>
  <si>
    <t>Secondary data that is not publicly available / from a reliable source</t>
  </si>
  <si>
    <t>Source: EGDC ICT Methodology</t>
  </si>
  <si>
    <t>Ensure table sums 1st, 2nd and higher order effects correctly and calcualtes net impact correctly</t>
  </si>
  <si>
    <t>Reliability</t>
  </si>
  <si>
    <t>Temporal representativeness</t>
  </si>
  <si>
    <t>Geographical representativeness</t>
  </si>
  <si>
    <t>Activity representativeness</t>
  </si>
  <si>
    <t>Adapted from: Greenhouse Gas Protocol, Quantitative Inventory Uncertainty, https://ghgprotocol.org/sites/default/files/2022-12/Quantitative%20Uncertainty%20Guidance.pdf</t>
  </si>
  <si>
    <t>Sensitivity Analysis</t>
  </si>
  <si>
    <t>This analysis aims to show the impact of varying the inputs to the net imapct calculation in different implementation contexts.</t>
  </si>
  <si>
    <t>% variation of input (lower)</t>
  </si>
  <si>
    <t>% variation of input (higher)</t>
  </si>
  <si>
    <t>Net carbon impact (kgCO2e) - higher range</t>
  </si>
  <si>
    <t>Net carbon impact (kgCO2e) - lower range</t>
  </si>
  <si>
    <t>Percentage change to net carbon impact - higher range</t>
  </si>
  <si>
    <t>Percentage change to net carbon impact - lower range</t>
  </si>
  <si>
    <t>Description of change</t>
  </si>
  <si>
    <t>activity data</t>
  </si>
  <si>
    <t>Device</t>
  </si>
  <si>
    <t>emission factor</t>
  </si>
  <si>
    <t>kgCO2e/device</t>
  </si>
  <si>
    <t>Pull down table to cover all 1st, 2nd and higher order effects</t>
  </si>
  <si>
    <t>Add lower and higher % variations relevant for each variable (this could be based on literature)</t>
  </si>
  <si>
    <t>For any added rows, ensure the formula is correct</t>
  </si>
  <si>
    <t>Ensure formulas link to correct total net impact</t>
  </si>
  <si>
    <t>Data - Electricity</t>
  </si>
  <si>
    <t>Source: Data request - SAWACO Desalination - NEC Response  query log 19012025</t>
  </si>
  <si>
    <t>Reference scenario emissions</t>
  </si>
  <si>
    <t>Data from before the solution was implemented</t>
  </si>
  <si>
    <t>Description of reference scenario:</t>
  </si>
  <si>
    <t xml:space="preserve">Under normal operating conditions,without the implementation of the AI Digital Platform, SWRO desalination plants typically rely on manual monitoring, operator experience, and fixed operational settings to run day-to-day processes. </t>
  </si>
  <si>
    <t xml:space="preserve">Data </t>
  </si>
  <si>
    <t xml:space="preserve">Comment </t>
  </si>
  <si>
    <t>Energy consumption</t>
  </si>
  <si>
    <t>Average kWh/m3</t>
  </si>
  <si>
    <t xml:space="preserve">Volume of water produced </t>
  </si>
  <si>
    <t>From 01-Jan-2024 to 20-Nov-2024</t>
  </si>
  <si>
    <t>Solution scenario emissions</t>
  </si>
  <si>
    <t>Data from after the solution was implemented</t>
  </si>
  <si>
    <t xml:space="preserve">Description of solution scenario: </t>
  </si>
  <si>
    <t>The AI-powered digital tool was developed to reduce the electricity consumption of desalination plants using historical data to study how operational settings affect energy consumption to recommend operating settings requiring less power.</t>
  </si>
  <si>
    <t>From 21-Nov-2024 to 31-Oct-2025</t>
  </si>
  <si>
    <t>First Order Effects</t>
  </si>
  <si>
    <t>KEY</t>
  </si>
  <si>
    <t>Data input</t>
  </si>
  <si>
    <t>Use of Personal Computer for the AI training</t>
  </si>
  <si>
    <t>1. Emissions (due to the low materiality/significance - computer used for 3 days only, the proxy for a laptop was used, without a split between the lifecycle stages - please see the assumption tab</t>
  </si>
  <si>
    <t>Laptop life cycle emissions allocated to AI training (kgCO2e)</t>
  </si>
  <si>
    <t>Total lifecycle emissions (kgCO2e/device)</t>
  </si>
  <si>
    <t>Device lifetime (years)</t>
  </si>
  <si>
    <t>Annual emissions (kgCO2e/year)</t>
  </si>
  <si>
    <t>Training hours</t>
  </si>
  <si>
    <t>Hours/year</t>
  </si>
  <si>
    <t>MacBook Air 15-inch with M2 chip Product Environmental Report</t>
  </si>
  <si>
    <t>computer was used for approximately 72 hours*</t>
  </si>
  <si>
    <t>The data above includes use‑phase emissions, which were not deducted, even though the use‑phase emissions related to AI training were also calculated separately and specifically for Saudi Arabia. This approach was intentionally applied in order to keep the proxy conservative.</t>
  </si>
  <si>
    <t>Data processing</t>
  </si>
  <si>
    <t>IT infrastructure: Cloud data processing and storage, AI data modelling (training time required in days/hours if available), Machine Learning, data analytics. Please see the assumptions tab for the details.</t>
  </si>
  <si>
    <t>Note/Assumption</t>
  </si>
  <si>
    <t>Power draw - training computer</t>
  </si>
  <si>
    <t>kW</t>
  </si>
  <si>
    <t>SAWACO</t>
  </si>
  <si>
    <t>Typical maximum power consumption of 90 W (=0.09 kW).</t>
  </si>
  <si>
    <t>Training duration</t>
  </si>
  <si>
    <t>Approx. training time for AI model development/testing.</t>
  </si>
  <si>
    <t>Power consumption - AI training</t>
  </si>
  <si>
    <t>kWh/training</t>
  </si>
  <si>
    <t>Calculated</t>
  </si>
  <si>
    <t>Power draw (kW) × training duration (h).</t>
  </si>
  <si>
    <t>Emissions - AI training</t>
  </si>
  <si>
    <t>Calculated using the grid electricity EF in Saudi Arabia (kWh × kgCO2e/kWh).</t>
  </si>
  <si>
    <t>Laptop life cycle emissions (proxy) per training</t>
  </si>
  <si>
    <t>Proxy lifecycle footprint allocated to 72-hour AI training period.</t>
  </si>
  <si>
    <t>Assumptions</t>
  </si>
  <si>
    <t>Assumption</t>
  </si>
  <si>
    <t>Source Assumption</t>
  </si>
  <si>
    <t>Source SAWACO</t>
  </si>
  <si>
    <t>Comment / Assumption</t>
  </si>
  <si>
    <t>SAWACO has confirmed that no dedicated hardware was installed or operated on a continuous basis for the purpose of this solution. The AI‑based optimisation was developed offline using historical operational data, with model development and testing carried out on a standard personal computer for a limited period of approximately 72 hours.
To estimate the carbon impact associated with this activity, a conservative benchmark was applied using a representative example of a standard laptop (e.g. a MacBook Air 15″ with 512 GB storage). The estimated lifecycle carbon footprint of such a device is approximately 152 kg CO₂e over a 4‑year lifetime, covering embodied emissions, use‑phase electricity consumption, and end‑of‑life treatment. This corresponds to an average annual impact of 38 kg CO₂e per year.
Allocating this annual impact proportionally to 72 hours of use results in an estimated contribution of approximately:
0.31 kg CO₂e
(38 kg CO₂e / year × 72 hours / 8,760 hours)
This calculated value represents the estimated contribution of computing resources used during the AI model development phase and has been included as part of the assessment of first‑order solution emissions. When compared to the magnitude of operational electricity‑related emissions and savings at the desalination plant level, this contribution is minimal and does not materially influence the overall net carbon impact of the solution.</t>
  </si>
  <si>
    <t>Data request - SAWACO Desalination - NEC Response  query log 19012025</t>
  </si>
  <si>
    <t>For the purpose of the calculations, the electricity consumption in the reference scenario has been adjusted to correspond to the volume of water produced in the solution scenario. This adjustment was made by multiplying the reference scenario’s specific electricity consumption (kWh/m³) by the total volume of water produced under the solution scenario.</t>
  </si>
  <si>
    <t>The data related to the personal computer include use‑phase emissions, which were not deducted, even though use‑phase emissions associated with AI training were also calculated separately and specifically for the Saudi Arabian context. This approach was intentionally applied in order to keep the proxy conservative.
In parallel, the electricity consumption of the computer used for model training was estimated separately based on information provided by SAWACO. The solution is based on a machine‑learning model trained on historical data and executed on a standard CPU‑based computer over a limited training period. The associated energy consumption and resulting emissions were calculated using the applicable local grid emission factor.
Other potential sources of related emissions, such as cloud computing or ancillary IT services, may also be associated with the model development process. However, given the short duration of the training activity, their proportional contribution was assessed as immaterial and was therefore not included in the calculation.</t>
  </si>
  <si>
    <t>It is assumed that the implementation context in both the reference and solution scenarios was broadly comparable with respect to feed‑water conditions, including temperature and conductivity. It is further assumed that membrane cleaning activities were carried out at similar intervals in both scenarios. As a result, differences in water conditions and maintenance practices are not expected to materially affect the results of the assessment.</t>
  </si>
  <si>
    <t>It is assumed that the electricity grid emission factor used for Saudi Arabia accounts for full lifecycle emissions (including upstream fuel supply, generation, transmission and distribution).</t>
  </si>
  <si>
    <t>Carbon emission factor electricity grid (kg CO2e/kWh)</t>
  </si>
  <si>
    <t>Public Emission Factors</t>
  </si>
  <si>
    <t>Description</t>
  </si>
  <si>
    <t>Emissions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</si>
</sst>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quot;-&quot;??_-;_-@_-"/>
    <numFmt numFmtId="165" formatCode="0.0"/>
    <numFmt numFmtId="166" formatCode="0.000"/>
    <numFmt numFmtId="167" formatCode="0.0%"/>
    <numFmt numFmtId="168" formatCode="#,##0.0"/>
    <numFmt numFmtId="169" formatCode="0.0000"/>
  </numFmts>
  <fonts count="56">
    <font>
      <sz val="11"/>
      <color theme="1"/>
      <name val="Roboto"/>
      <family val="2"/>
      <scheme val="minor"/>
    </font>
    <font>
      <b/>
      <sz val="11"/>
      <color theme="1"/>
      <name val="Roboto"/>
      <family val="2"/>
      <scheme val="minor"/>
    </font>
    <font>
      <sz val="16"/>
      <color theme="4"/>
      <name val="Crimson Pro"/>
    </font>
    <font>
      <sz val="18"/>
      <color theme="3"/>
      <name val="Crimson Pro"/>
    </font>
    <font>
      <b/>
      <sz val="12"/>
      <color theme="3"/>
      <name val="Roboto"/>
      <family val="2"/>
      <scheme val="minor"/>
    </font>
    <font>
      <b/>
      <sz val="11"/>
      <color theme="4"/>
      <name val="Roboto"/>
      <family val="2"/>
      <scheme val="minor"/>
    </font>
    <font>
      <sz val="10"/>
      <name val="Arial"/>
      <family val="2"/>
    </font>
    <font>
      <sz val="8"/>
      <name val="Roboto"/>
      <family val="2"/>
      <scheme val="minor"/>
    </font>
    <font>
      <sz val="11"/>
      <color theme="1"/>
      <name val="Roboto"/>
      <family val="2"/>
      <scheme val="minor"/>
    </font>
    <font>
      <sz val="11"/>
      <color theme="1"/>
      <name val="Roboto"/>
      <scheme val="minor"/>
    </font>
    <font>
      <b/>
      <sz val="11"/>
      <color theme="1"/>
      <name val="Lora"/>
    </font>
    <font>
      <sz val="11"/>
      <color theme="1"/>
      <name val="Lora"/>
    </font>
    <font>
      <b/>
      <sz val="11"/>
      <color theme="0"/>
      <name val="Lora"/>
    </font>
    <font>
      <i/>
      <sz val="11"/>
      <color rgb="FFFF0000"/>
      <name val="Lora"/>
    </font>
    <font>
      <b/>
      <sz val="14"/>
      <color theme="1"/>
      <name val="Lora"/>
    </font>
    <font>
      <sz val="11"/>
      <name val="Lora"/>
    </font>
    <font>
      <sz val="10"/>
      <color theme="1"/>
      <name val="Lora"/>
    </font>
    <font>
      <b/>
      <sz val="10"/>
      <color theme="1"/>
      <name val="Lora"/>
    </font>
    <font>
      <b/>
      <u/>
      <sz val="10"/>
      <color theme="1"/>
      <name val="Lora"/>
    </font>
    <font>
      <sz val="11"/>
      <color theme="1"/>
      <name val="Kigelia Arabic Light"/>
      <family val="2"/>
      <charset val="178"/>
    </font>
    <font>
      <b/>
      <sz val="11"/>
      <color theme="4"/>
      <name val="Kigelia Arabic Light"/>
      <family val="2"/>
      <charset val="178"/>
    </font>
    <font>
      <b/>
      <u/>
      <sz val="11"/>
      <color theme="1"/>
      <name val="Lora"/>
    </font>
    <font>
      <i/>
      <sz val="11"/>
      <color theme="1"/>
      <name val="Lora"/>
    </font>
    <font>
      <sz val="11"/>
      <color theme="1"/>
      <name val="Kigelia Arabic Light"/>
      <family val="2"/>
    </font>
    <font>
      <sz val="11"/>
      <color rgb="FF242424"/>
      <name val="Aptos Narrow"/>
      <family val="2"/>
    </font>
    <font>
      <sz val="11"/>
      <color rgb="FF000000"/>
      <name val="Lora"/>
    </font>
    <font>
      <u/>
      <sz val="11"/>
      <color theme="10"/>
      <name val="Roboto"/>
      <family val="2"/>
      <scheme val="minor"/>
    </font>
    <font>
      <b/>
      <sz val="14"/>
      <color rgb="FF000000"/>
      <name val="Lora"/>
    </font>
    <font>
      <b/>
      <sz val="11"/>
      <color rgb="FFFFFFFF"/>
      <name val="Lora"/>
    </font>
    <font>
      <b/>
      <sz val="12"/>
      <color rgb="FF000000"/>
      <name val="Lora"/>
    </font>
    <font>
      <b/>
      <sz val="16"/>
      <color rgb="FF000000"/>
      <name val="Lora"/>
    </font>
    <font>
      <b/>
      <sz val="11"/>
      <color rgb="FF000000"/>
      <name val="Lora"/>
    </font>
    <font>
      <u/>
      <sz val="11"/>
      <color theme="6"/>
      <name val="Roboto"/>
      <family val="2"/>
      <scheme val="minor"/>
    </font>
    <font>
      <sz val="11"/>
      <color theme="1"/>
      <name val="Kigelia Arabic Light"/>
      <family val="2"/>
    </font>
    <font>
      <b/>
      <sz val="11"/>
      <color theme="1"/>
      <name val="Kigelia Arabic Light"/>
      <family val="2"/>
    </font>
    <font>
      <b/>
      <u/>
      <sz val="11"/>
      <color rgb="FF000000"/>
      <name val="Lora"/>
    </font>
    <font>
      <i/>
      <sz val="12"/>
      <color rgb="FFFFFFFF"/>
      <name val="Lora"/>
    </font>
    <font>
      <i/>
      <sz val="11"/>
      <color rgb="FF000000"/>
      <name val="Lora"/>
    </font>
    <font>
      <b/>
      <sz val="11"/>
      <color rgb="FF000000"/>
      <name val="Roboto"/>
    </font>
    <font>
      <sz val="11"/>
      <color rgb="FF000000"/>
      <name val="Roboto"/>
    </font>
    <font>
      <i/>
      <sz val="11"/>
      <color rgb="FF2147ED"/>
      <name val="Roboto"/>
    </font>
    <font>
      <b/>
      <sz val="11"/>
      <name val="Roboto"/>
    </font>
    <font>
      <sz val="11"/>
      <color rgb="FFFF0000"/>
      <name val="Roboto"/>
    </font>
    <font>
      <sz val="11"/>
      <color rgb="FFFF0000"/>
      <name val="Arial"/>
      <family val="2"/>
    </font>
    <font>
      <i/>
      <sz val="12"/>
      <color rgb="FF000000"/>
      <name val="Lora"/>
    </font>
    <font>
      <sz val="11"/>
      <color theme="1"/>
      <name val="Calibri"/>
      <family val="2"/>
    </font>
    <font>
      <sz val="11"/>
      <color rgb="FF242424"/>
      <name val="Lora"/>
    </font>
    <font>
      <i/>
      <sz val="11"/>
      <color rgb="FF666666"/>
      <name val="Kigelia Arabic Light"/>
      <family val="2"/>
      <charset val="178"/>
    </font>
    <font>
      <sz val="11"/>
      <color rgb="FF666666"/>
      <name val="Kigelia Arabic Light"/>
      <family val="2"/>
      <charset val="178"/>
    </font>
    <font>
      <sz val="9"/>
      <color rgb="FF666666"/>
      <name val="Kigelia Arabic Light"/>
      <family val="2"/>
      <charset val="178"/>
    </font>
    <font>
      <b/>
      <sz val="9"/>
      <color rgb="FF000000"/>
      <name val="Kigelia Arabic Light"/>
      <family val="2"/>
      <charset val="178"/>
    </font>
    <font>
      <b/>
      <sz val="11"/>
      <color rgb="FF1F2D3D"/>
      <name val="Lora"/>
    </font>
    <font>
      <b/>
      <sz val="11"/>
      <color rgb="FF1F2D3D"/>
      <name val="Roboto"/>
      <family val="2"/>
      <scheme val="minor"/>
    </font>
    <font>
      <b/>
      <sz val="11"/>
      <color theme="0"/>
      <name val="Roboto"/>
      <family val="2"/>
      <scheme val="minor"/>
    </font>
    <font>
      <u/>
      <sz val="11"/>
      <color theme="10"/>
      <name val="Lora"/>
    </font>
    <font>
      <u/>
      <sz val="12"/>
      <color theme="10"/>
      <name val="Lora"/>
    </font>
  </fonts>
  <fills count="22">
    <fill>
      <patternFill patternType="none"/>
    </fill>
    <fill>
      <patternFill patternType="gray125"/>
    </fill>
    <fill>
      <patternFill patternType="solid">
        <fgColor theme="1"/>
        <bgColor indexed="64"/>
      </patternFill>
    </fill>
    <fill>
      <patternFill patternType="solid">
        <fgColor theme="3"/>
        <bgColor indexed="64"/>
      </patternFill>
    </fill>
    <fill>
      <patternFill patternType="solid">
        <fgColor rgb="FFA6D9F7"/>
        <bgColor indexed="64"/>
      </patternFill>
    </fill>
    <fill>
      <patternFill patternType="solid">
        <fgColor rgb="FFFFFFE1"/>
        <bgColor indexed="64"/>
      </patternFill>
    </fill>
    <fill>
      <patternFill patternType="solid">
        <fgColor theme="3" tint="0.89999084444715716"/>
        <bgColor indexed="64"/>
      </patternFill>
    </fill>
    <fill>
      <patternFill patternType="solid">
        <fgColor theme="0"/>
        <bgColor indexed="64"/>
      </patternFill>
    </fill>
    <fill>
      <patternFill patternType="solid">
        <fgColor rgb="FF000000"/>
        <bgColor rgb="FF000000"/>
      </patternFill>
    </fill>
    <fill>
      <patternFill patternType="solid">
        <fgColor rgb="FFFFFFFF"/>
        <bgColor rgb="FF000000"/>
      </patternFill>
    </fill>
    <fill>
      <patternFill patternType="solid">
        <fgColor rgb="FFCCFFE1"/>
        <bgColor rgb="FF000000"/>
      </patternFill>
    </fill>
    <fill>
      <patternFill patternType="solid">
        <fgColor rgb="FFD1D9FC"/>
        <bgColor rgb="FF000000"/>
      </patternFill>
    </fill>
    <fill>
      <patternFill patternType="solid">
        <fgColor rgb="FF00FF6C"/>
        <bgColor rgb="FF000000"/>
      </patternFill>
    </fill>
    <fill>
      <patternFill patternType="solid">
        <fgColor rgb="FFFFC000"/>
        <bgColor rgb="FF000000"/>
      </patternFill>
    </fill>
    <fill>
      <patternFill patternType="solid">
        <fgColor rgb="FFFFFF00"/>
        <bgColor rgb="FF000000"/>
      </patternFill>
    </fill>
    <fill>
      <patternFill patternType="solid">
        <fgColor rgb="FF366340"/>
        <bgColor rgb="FF000000"/>
      </patternFill>
    </fill>
    <fill>
      <patternFill patternType="solid">
        <fgColor rgb="FFF5F17F"/>
        <bgColor rgb="FF000000"/>
      </patternFill>
    </fill>
    <fill>
      <patternFill patternType="solid">
        <fgColor rgb="FFCCFFE1"/>
        <bgColor indexed="64"/>
      </patternFill>
    </fill>
    <fill>
      <patternFill patternType="solid">
        <fgColor rgb="FFD1D9FC"/>
        <bgColor indexed="64"/>
      </patternFill>
    </fill>
    <fill>
      <patternFill patternType="solid">
        <fgColor rgb="FFF2F2F2"/>
        <bgColor indexed="64"/>
      </patternFill>
    </fill>
    <fill>
      <patternFill patternType="solid">
        <fgColor rgb="FFE7EEF8"/>
        <bgColor indexed="64"/>
      </patternFill>
    </fill>
    <fill>
      <patternFill patternType="solid">
        <fgColor rgb="FFFFFFFF"/>
        <bgColor indexed="64"/>
      </patternFill>
    </fill>
  </fills>
  <borders count="69">
    <border>
      <left/>
      <right/>
      <top/>
      <bottom/>
      <diagonal/>
    </border>
    <border>
      <left/>
      <right/>
      <top/>
      <bottom style="thick">
        <color theme="4" tint="0.499984740745262"/>
      </bottom>
      <diagonal/>
    </border>
    <border>
      <left/>
      <right/>
      <top/>
      <bottom style="thick">
        <color theme="7"/>
      </bottom>
      <diagonal/>
    </border>
    <border>
      <left/>
      <right/>
      <top style="double">
        <color theme="4"/>
      </top>
      <bottom style="thin">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bottom/>
      <diagonal/>
    </border>
    <border>
      <left/>
      <right/>
      <top style="thin">
        <color rgb="FF000000"/>
      </top>
      <bottom style="thin">
        <color rgb="FF000000"/>
      </bottom>
      <diagonal/>
    </border>
    <border>
      <left style="thin">
        <color rgb="FF2147ED"/>
      </left>
      <right/>
      <top/>
      <bottom/>
      <diagonal/>
    </border>
    <border>
      <left/>
      <right style="thin">
        <color rgb="FF2147ED"/>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000000"/>
      </left>
      <right style="thin">
        <color rgb="FF000000"/>
      </right>
      <top/>
      <bottom/>
      <diagonal/>
    </border>
    <border>
      <left style="thin">
        <color indexed="64"/>
      </left>
      <right/>
      <top style="thin">
        <color indexed="64"/>
      </top>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style="thin">
        <color indexed="64"/>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indexed="64"/>
      </left>
      <right/>
      <top style="medium">
        <color rgb="FF000000"/>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indexed="64"/>
      </left>
      <right/>
      <top/>
      <bottom style="thin">
        <color indexed="64"/>
      </bottom>
      <diagonal/>
    </border>
    <border>
      <left/>
      <right style="thin">
        <color indexed="64"/>
      </right>
      <top style="thin">
        <color indexed="64"/>
      </top>
      <bottom/>
      <diagonal/>
    </border>
    <border>
      <left/>
      <right style="thin">
        <color rgb="FF000000"/>
      </right>
      <top/>
      <bottom style="thin">
        <color rgb="FF000000"/>
      </bottom>
      <diagonal/>
    </border>
    <border>
      <left/>
      <right style="thin">
        <color indexed="64"/>
      </right>
      <top/>
      <bottom style="thin">
        <color indexed="64"/>
      </bottom>
      <diagonal/>
    </border>
    <border>
      <left style="medium">
        <color rgb="FF000000"/>
      </left>
      <right/>
      <top/>
      <bottom/>
      <diagonal/>
    </border>
    <border>
      <left style="medium">
        <color rgb="FFFF0000"/>
      </left>
      <right/>
      <top style="medium">
        <color rgb="FFFF0000"/>
      </top>
      <bottom/>
      <diagonal/>
    </border>
    <border>
      <left style="thin">
        <color rgb="FF000000"/>
      </left>
      <right style="thin">
        <color rgb="FF000000"/>
      </right>
      <top style="medium">
        <color rgb="FFFF0000"/>
      </top>
      <bottom style="thin">
        <color rgb="FF000000"/>
      </bottom>
      <diagonal/>
    </border>
    <border>
      <left style="thin">
        <color rgb="FF000000"/>
      </left>
      <right style="medium">
        <color rgb="FFFF0000"/>
      </right>
      <top style="medium">
        <color rgb="FFFF0000"/>
      </top>
      <bottom style="thin">
        <color rgb="FF000000"/>
      </bottom>
      <diagonal/>
    </border>
    <border>
      <left style="medium">
        <color rgb="FFFF0000"/>
      </left>
      <right/>
      <top/>
      <bottom/>
      <diagonal/>
    </border>
    <border>
      <left style="thin">
        <color rgb="FF000000"/>
      </left>
      <right style="medium">
        <color rgb="FFFF0000"/>
      </right>
      <top style="thin">
        <color rgb="FF000000"/>
      </top>
      <bottom/>
      <diagonal/>
    </border>
    <border>
      <left style="medium">
        <color rgb="FFFF0000"/>
      </left>
      <right/>
      <top/>
      <bottom style="medium">
        <color rgb="FFFF0000"/>
      </bottom>
      <diagonal/>
    </border>
    <border>
      <left style="thin">
        <color rgb="FF000000"/>
      </left>
      <right style="thin">
        <color rgb="FF000000"/>
      </right>
      <top style="thin">
        <color rgb="FF000000"/>
      </top>
      <bottom style="medium">
        <color rgb="FFFF0000"/>
      </bottom>
      <diagonal/>
    </border>
    <border>
      <left style="thin">
        <color rgb="FF000000"/>
      </left>
      <right style="medium">
        <color rgb="FFFF0000"/>
      </right>
      <top style="thin">
        <color rgb="FF000000"/>
      </top>
      <bottom style="medium">
        <color rgb="FFFF0000"/>
      </bottom>
      <diagonal/>
    </border>
    <border>
      <left/>
      <right/>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hair">
        <color rgb="FFBFBFBF"/>
      </left>
      <right style="hair">
        <color rgb="FFBFBFBF"/>
      </right>
      <top style="hair">
        <color rgb="FFBFBFBF"/>
      </top>
      <bottom/>
      <diagonal/>
    </border>
  </borders>
  <cellStyleXfs count="10">
    <xf numFmtId="0" fontId="0" fillId="0" borderId="0"/>
    <xf numFmtId="0" fontId="3" fillId="0" borderId="2" applyNumberFormat="0" applyFill="0" applyAlignment="0" applyProtection="0"/>
    <xf numFmtId="0" fontId="2" fillId="0" borderId="1" applyNumberFormat="0" applyFill="0" applyBorder="0" applyAlignment="0" applyProtection="0"/>
    <xf numFmtId="0" fontId="4" fillId="0" borderId="0" applyNumberFormat="0" applyFill="0" applyAlignment="0" applyProtection="0"/>
    <xf numFmtId="0" fontId="5" fillId="0" borderId="0" applyNumberFormat="0" applyFill="0" applyBorder="0" applyAlignment="0" applyProtection="0"/>
    <xf numFmtId="0" fontId="1" fillId="0" borderId="3" applyNumberFormat="0" applyFill="0" applyAlignment="0" applyProtection="0"/>
    <xf numFmtId="0" fontId="6" fillId="0" borderId="0"/>
    <xf numFmtId="9" fontId="8" fillId="0" borderId="0" applyFont="0" applyFill="0" applyBorder="0" applyAlignment="0" applyProtection="0"/>
    <xf numFmtId="164" fontId="8" fillId="0" borderId="0" applyFont="0" applyFill="0" applyBorder="0" applyAlignment="0" applyProtection="0"/>
    <xf numFmtId="0" fontId="26" fillId="0" borderId="0" applyNumberFormat="0" applyFill="0" applyBorder="0" applyAlignment="0" applyProtection="0"/>
  </cellStyleXfs>
  <cellXfs count="326">
    <xf numFmtId="0" fontId="0" fillId="0" borderId="0" xfId="0"/>
    <xf numFmtId="0" fontId="9" fillId="0" borderId="0" xfId="0" applyFont="1"/>
    <xf numFmtId="0" fontId="10" fillId="0" borderId="0" xfId="0" applyFont="1"/>
    <xf numFmtId="0" fontId="11" fillId="0" borderId="0" xfId="0" applyFont="1"/>
    <xf numFmtId="0" fontId="11" fillId="0" borderId="0" xfId="0" applyFont="1" applyAlignment="1">
      <alignment wrapText="1"/>
    </xf>
    <xf numFmtId="0" fontId="11" fillId="0" borderId="4" xfId="0" applyFont="1" applyBorder="1" applyAlignment="1">
      <alignment vertical="center"/>
    </xf>
    <xf numFmtId="0" fontId="11" fillId="0" borderId="4" xfId="0" applyFont="1" applyBorder="1" applyAlignment="1">
      <alignment horizontal="center" vertical="center"/>
    </xf>
    <xf numFmtId="0" fontId="11" fillId="0" borderId="8" xfId="0" applyFont="1" applyBorder="1" applyAlignment="1">
      <alignment vertical="center"/>
    </xf>
    <xf numFmtId="0" fontId="13" fillId="0" borderId="0" xfId="0" applyFont="1"/>
    <xf numFmtId="0" fontId="12" fillId="2" borderId="4" xfId="0" applyFont="1" applyFill="1" applyBorder="1" applyAlignment="1">
      <alignment horizontal="left" wrapText="1"/>
    </xf>
    <xf numFmtId="0" fontId="12" fillId="2" borderId="4" xfId="0" applyFont="1" applyFill="1" applyBorder="1" applyAlignment="1">
      <alignment horizontal="center" wrapText="1"/>
    </xf>
    <xf numFmtId="0" fontId="10" fillId="0" borderId="4" xfId="0" applyFont="1" applyBorder="1" applyAlignment="1">
      <alignment vertical="center" wrapText="1"/>
    </xf>
    <xf numFmtId="0" fontId="11" fillId="0" borderId="4" xfId="0" applyFont="1" applyBorder="1" applyAlignment="1">
      <alignment horizontal="center" vertical="center" wrapText="1"/>
    </xf>
    <xf numFmtId="0" fontId="11" fillId="0" borderId="0" xfId="0" applyFont="1" applyAlignment="1">
      <alignment horizontal="center" wrapText="1"/>
    </xf>
    <xf numFmtId="0" fontId="13" fillId="0" borderId="0" xfId="0" applyFont="1" applyAlignment="1">
      <alignment vertical="center"/>
    </xf>
    <xf numFmtId="0" fontId="12" fillId="2" borderId="4" xfId="0" applyFont="1" applyFill="1" applyBorder="1" applyAlignment="1">
      <alignment horizontal="center"/>
    </xf>
    <xf numFmtId="0" fontId="10" fillId="0" borderId="4" xfId="0" applyFont="1" applyBorder="1" applyAlignment="1">
      <alignment vertical="center"/>
    </xf>
    <xf numFmtId="0" fontId="11" fillId="0" borderId="4" xfId="0" applyFont="1" applyBorder="1" applyAlignment="1">
      <alignment horizontal="center"/>
    </xf>
    <xf numFmtId="0" fontId="11" fillId="0" borderId="4" xfId="0" applyFont="1" applyBorder="1"/>
    <xf numFmtId="0" fontId="10" fillId="0" borderId="0" xfId="0" applyFont="1" applyAlignment="1">
      <alignment wrapText="1"/>
    </xf>
    <xf numFmtId="0" fontId="10" fillId="0" borderId="0" xfId="0" applyFont="1" applyAlignment="1">
      <alignment vertical="center" wrapText="1"/>
    </xf>
    <xf numFmtId="0" fontId="16" fillId="0" borderId="0" xfId="0" applyFont="1" applyAlignment="1">
      <alignment vertical="center" wrapText="1"/>
    </xf>
    <xf numFmtId="0" fontId="17" fillId="0" borderId="0" xfId="0" applyFont="1" applyAlignment="1">
      <alignment horizontal="left" vertical="center" wrapText="1" indent="5"/>
    </xf>
    <xf numFmtId="0" fontId="18" fillId="0" borderId="0" xfId="0" applyFont="1" applyAlignment="1">
      <alignment vertical="center" wrapText="1"/>
    </xf>
    <xf numFmtId="0" fontId="11" fillId="0" borderId="0" xfId="0" applyFont="1" applyAlignment="1">
      <alignment vertical="center"/>
    </xf>
    <xf numFmtId="0" fontId="12" fillId="2" borderId="0" xfId="0" applyFont="1" applyFill="1" applyAlignment="1">
      <alignment horizontal="left" vertical="center" wrapText="1"/>
    </xf>
    <xf numFmtId="0" fontId="12" fillId="2" borderId="0" xfId="0" applyFont="1" applyFill="1" applyAlignment="1">
      <alignment horizontal="center" vertical="center" wrapText="1"/>
    </xf>
    <xf numFmtId="2" fontId="11" fillId="0" borderId="4" xfId="0" applyNumberFormat="1" applyFont="1" applyBorder="1" applyAlignment="1">
      <alignment horizontal="center"/>
    </xf>
    <xf numFmtId="167" fontId="11" fillId="0" borderId="4" xfId="7" applyNumberFormat="1" applyFont="1" applyBorder="1"/>
    <xf numFmtId="167" fontId="11" fillId="0" borderId="0" xfId="7" applyNumberFormat="1" applyFont="1"/>
    <xf numFmtId="0" fontId="19" fillId="0" borderId="0" xfId="0" applyFont="1"/>
    <xf numFmtId="0" fontId="19" fillId="0" borderId="6" xfId="0" applyFont="1" applyBorder="1"/>
    <xf numFmtId="0" fontId="20" fillId="0" borderId="0" xfId="4" applyFont="1"/>
    <xf numFmtId="0" fontId="22" fillId="0" borderId="0" xfId="0" applyFont="1"/>
    <xf numFmtId="0" fontId="13" fillId="0" borderId="0" xfId="0" applyFont="1" applyAlignment="1">
      <alignment vertical="center" wrapText="1"/>
    </xf>
    <xf numFmtId="0" fontId="23" fillId="0" borderId="0" xfId="0" applyFont="1"/>
    <xf numFmtId="0" fontId="21" fillId="0" borderId="0" xfId="0" applyFont="1" applyAlignment="1">
      <alignment horizontal="left" wrapText="1"/>
    </xf>
    <xf numFmtId="0" fontId="22" fillId="4" borderId="12" xfId="0" applyFont="1" applyFill="1" applyBorder="1"/>
    <xf numFmtId="165" fontId="11" fillId="0" borderId="14" xfId="0" applyNumberFormat="1" applyFont="1" applyBorder="1" applyAlignment="1">
      <alignment horizontal="center" vertical="center"/>
    </xf>
    <xf numFmtId="0" fontId="25" fillId="0" borderId="14" xfId="0" applyFont="1" applyBorder="1" applyAlignment="1">
      <alignment horizontal="center" vertical="center"/>
    </xf>
    <xf numFmtId="0" fontId="11" fillId="0" borderId="12" xfId="0" applyFont="1" applyBorder="1" applyAlignment="1">
      <alignment horizontal="left" vertical="center"/>
    </xf>
    <xf numFmtId="0" fontId="11" fillId="0" borderId="12" xfId="0" applyFont="1" applyBorder="1" applyAlignment="1">
      <alignment horizontal="left" vertical="center" wrapText="1"/>
    </xf>
    <xf numFmtId="0" fontId="11" fillId="0" borderId="0" xfId="0" applyFont="1" applyAlignment="1">
      <alignment horizontal="left" vertical="center"/>
    </xf>
    <xf numFmtId="0" fontId="11" fillId="0" borderId="13" xfId="0" applyFont="1" applyBorder="1" applyAlignment="1">
      <alignment horizontal="left" vertical="center"/>
    </xf>
    <xf numFmtId="0" fontId="11" fillId="0" borderId="13" xfId="0" applyFont="1" applyBorder="1" applyAlignment="1">
      <alignment horizontal="left" vertical="center" wrapText="1"/>
    </xf>
    <xf numFmtId="0" fontId="12" fillId="2" borderId="0" xfId="0" applyFont="1" applyFill="1" applyAlignment="1">
      <alignment horizontal="left" vertical="center"/>
    </xf>
    <xf numFmtId="0" fontId="12" fillId="2" borderId="12" xfId="0" applyFont="1" applyFill="1" applyBorder="1" applyAlignment="1">
      <alignment horizontal="left" vertical="center"/>
    </xf>
    <xf numFmtId="0" fontId="12" fillId="0" borderId="0" xfId="0" applyFont="1" applyAlignment="1">
      <alignment horizontal="left" vertical="center"/>
    </xf>
    <xf numFmtId="0" fontId="0" fillId="0" borderId="0" xfId="0" applyAlignment="1">
      <alignment horizontal="left" vertical="center"/>
    </xf>
    <xf numFmtId="0" fontId="10" fillId="0" borderId="0" xfId="0" applyFont="1" applyAlignment="1">
      <alignment horizontal="left" vertical="center"/>
    </xf>
    <xf numFmtId="0" fontId="12" fillId="2" borderId="13" xfId="0" applyFont="1" applyFill="1" applyBorder="1" applyAlignment="1">
      <alignment horizontal="left" vertical="center"/>
    </xf>
    <xf numFmtId="0" fontId="27" fillId="0" borderId="0" xfId="0" applyFont="1"/>
    <xf numFmtId="0" fontId="30" fillId="0" borderId="0" xfId="0" applyFont="1"/>
    <xf numFmtId="0" fontId="28" fillId="8" borderId="0" xfId="0" applyFont="1" applyFill="1"/>
    <xf numFmtId="0" fontId="29" fillId="0" borderId="0" xfId="0" applyFont="1"/>
    <xf numFmtId="0" fontId="11" fillId="0" borderId="12" xfId="0" applyFont="1" applyBorder="1" applyAlignment="1" applyProtection="1">
      <alignment vertical="center"/>
      <protection locked="0"/>
    </xf>
    <xf numFmtId="0" fontId="0" fillId="0" borderId="12" xfId="0" applyBorder="1" applyAlignment="1">
      <alignment wrapText="1"/>
    </xf>
    <xf numFmtId="0" fontId="0" fillId="0" borderId="0" xfId="0" applyAlignment="1">
      <alignment wrapText="1"/>
    </xf>
    <xf numFmtId="0" fontId="28" fillId="8" borderId="19" xfId="0" applyFont="1" applyFill="1" applyBorder="1" applyAlignment="1">
      <alignment vertical="center"/>
    </xf>
    <xf numFmtId="0" fontId="28" fillId="8" borderId="0" xfId="0" applyFont="1" applyFill="1" applyAlignment="1">
      <alignment vertical="center"/>
    </xf>
    <xf numFmtId="0" fontId="28" fillId="8" borderId="20" xfId="0" applyFont="1" applyFill="1" applyBorder="1" applyAlignment="1">
      <alignment vertical="center"/>
    </xf>
    <xf numFmtId="0" fontId="0" fillId="0" borderId="0" xfId="0" applyAlignment="1">
      <alignment vertical="center"/>
    </xf>
    <xf numFmtId="0" fontId="14" fillId="0" borderId="0" xfId="0" applyFont="1" applyAlignment="1">
      <alignment vertical="center"/>
    </xf>
    <xf numFmtId="0" fontId="11" fillId="0" borderId="17" xfId="0" applyFont="1" applyBorder="1" applyAlignment="1">
      <alignment vertical="center"/>
    </xf>
    <xf numFmtId="0" fontId="10" fillId="0" borderId="0" xfId="0" applyFont="1" applyAlignment="1">
      <alignment vertical="center"/>
    </xf>
    <xf numFmtId="0" fontId="11" fillId="6" borderId="4" xfId="0" applyFont="1" applyFill="1" applyBorder="1" applyAlignment="1">
      <alignment vertical="center"/>
    </xf>
    <xf numFmtId="0" fontId="12" fillId="0" borderId="17" xfId="0" applyFont="1" applyBorder="1" applyAlignment="1">
      <alignment horizontal="left" vertical="center"/>
    </xf>
    <xf numFmtId="0" fontId="11" fillId="0" borderId="14" xfId="0" applyFont="1" applyBorder="1" applyAlignment="1" applyProtection="1">
      <alignment vertical="center"/>
      <protection locked="0"/>
    </xf>
    <xf numFmtId="3" fontId="11" fillId="0" borderId="12" xfId="0" applyNumberFormat="1" applyFont="1" applyBorder="1" applyAlignment="1" applyProtection="1">
      <alignment vertical="center"/>
      <protection locked="0"/>
    </xf>
    <xf numFmtId="0" fontId="11" fillId="0" borderId="17" xfId="0" applyFont="1" applyBorder="1" applyAlignment="1">
      <alignment horizontal="left" vertical="center"/>
    </xf>
    <xf numFmtId="0" fontId="12" fillId="2" borderId="24" xfId="0" applyFont="1" applyFill="1" applyBorder="1" applyAlignment="1">
      <alignment horizontal="left" vertical="center"/>
    </xf>
    <xf numFmtId="0" fontId="11" fillId="0" borderId="0" xfId="0" applyFont="1" applyAlignment="1" applyProtection="1">
      <alignment vertical="center"/>
      <protection locked="0"/>
    </xf>
    <xf numFmtId="3" fontId="11" fillId="0" borderId="0" xfId="0" applyNumberFormat="1" applyFont="1" applyAlignment="1" applyProtection="1">
      <alignment vertical="center"/>
      <protection locked="0"/>
    </xf>
    <xf numFmtId="0" fontId="10" fillId="0" borderId="0" xfId="0" applyFont="1" applyAlignment="1" applyProtection="1">
      <alignment vertical="center"/>
      <protection locked="0"/>
    </xf>
    <xf numFmtId="0" fontId="11" fillId="0" borderId="12" xfId="0" applyFont="1" applyBorder="1" applyAlignment="1">
      <alignment vertical="center"/>
    </xf>
    <xf numFmtId="0" fontId="24" fillId="0" borderId="0" xfId="0" applyFont="1" applyAlignment="1">
      <alignment vertical="center"/>
    </xf>
    <xf numFmtId="2" fontId="11" fillId="0" borderId="0" xfId="0" applyNumberFormat="1" applyFont="1" applyAlignment="1">
      <alignment vertical="center"/>
    </xf>
    <xf numFmtId="2" fontId="11" fillId="0" borderId="17" xfId="0" applyNumberFormat="1" applyFont="1" applyBorder="1" applyAlignment="1">
      <alignment vertical="center"/>
    </xf>
    <xf numFmtId="0" fontId="0" fillId="0" borderId="17" xfId="0" applyBorder="1" applyAlignment="1">
      <alignment vertical="center"/>
    </xf>
    <xf numFmtId="0" fontId="11" fillId="6" borderId="12" xfId="0" applyFont="1" applyFill="1" applyBorder="1" applyAlignment="1">
      <alignment vertical="center"/>
    </xf>
    <xf numFmtId="0" fontId="32" fillId="0" borderId="0" xfId="9" applyFont="1" applyAlignment="1">
      <alignment vertical="center"/>
    </xf>
    <xf numFmtId="0" fontId="26" fillId="0" borderId="0" xfId="9" applyAlignment="1">
      <alignment vertical="center"/>
    </xf>
    <xf numFmtId="0" fontId="11" fillId="0" borderId="4" xfId="0" applyFont="1" applyBorder="1" applyAlignment="1" applyProtection="1">
      <alignment horizontal="center"/>
      <protection locked="0"/>
    </xf>
    <xf numFmtId="0" fontId="11" fillId="0" borderId="0" xfId="0" applyFont="1" applyAlignment="1">
      <alignment horizontal="center" vertical="center"/>
    </xf>
    <xf numFmtId="2" fontId="11" fillId="0" borderId="0" xfId="0" applyNumberFormat="1" applyFont="1" applyAlignment="1">
      <alignment horizontal="center" vertical="center"/>
    </xf>
    <xf numFmtId="4" fontId="11" fillId="0" borderId="0" xfId="0" applyNumberFormat="1" applyFont="1" applyAlignment="1">
      <alignment horizontal="center" vertical="center"/>
    </xf>
    <xf numFmtId="166" fontId="11" fillId="0" borderId="0" xfId="0" applyNumberFormat="1" applyFont="1" applyAlignment="1">
      <alignment horizontal="center" vertical="center"/>
    </xf>
    <xf numFmtId="0" fontId="11" fillId="0" borderId="27" xfId="0" applyFont="1" applyBorder="1" applyAlignment="1">
      <alignment horizontal="center" vertical="center"/>
    </xf>
    <xf numFmtId="0" fontId="11" fillId="0" borderId="27" xfId="0" applyFont="1" applyBorder="1" applyAlignment="1" applyProtection="1">
      <alignment horizontal="center"/>
      <protection locked="0"/>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27" fillId="0" borderId="0" xfId="0" applyFont="1" applyAlignment="1">
      <alignment horizontal="left" vertical="center"/>
    </xf>
    <xf numFmtId="0" fontId="0" fillId="0" borderId="0" xfId="0" applyAlignment="1">
      <alignment horizontal="left" vertical="center" wrapText="1"/>
    </xf>
    <xf numFmtId="0" fontId="31" fillId="0" borderId="21" xfId="0" applyFont="1" applyBorder="1" applyAlignment="1">
      <alignment horizontal="left" vertical="center"/>
    </xf>
    <xf numFmtId="0" fontId="0" fillId="6" borderId="0" xfId="0" applyFill="1" applyAlignment="1">
      <alignment horizontal="left" vertical="center"/>
    </xf>
    <xf numFmtId="0" fontId="31" fillId="6" borderId="0" xfId="0" applyFont="1" applyFill="1" applyAlignment="1">
      <alignment horizontal="left" vertical="center"/>
    </xf>
    <xf numFmtId="0" fontId="0" fillId="6" borderId="0" xfId="0" applyFill="1" applyAlignment="1">
      <alignment horizontal="left" vertical="center" wrapText="1"/>
    </xf>
    <xf numFmtId="0" fontId="31" fillId="7" borderId="0" xfId="0" applyFont="1" applyFill="1" applyAlignment="1">
      <alignment horizontal="left" vertical="center"/>
    </xf>
    <xf numFmtId="0" fontId="25" fillId="7" borderId="12" xfId="0" applyFont="1" applyFill="1" applyBorder="1" applyAlignment="1">
      <alignment horizontal="left" vertical="center"/>
    </xf>
    <xf numFmtId="0" fontId="25" fillId="0" borderId="12" xfId="0" applyFont="1" applyBorder="1" applyAlignment="1">
      <alignment horizontal="left" vertical="center" wrapText="1"/>
    </xf>
    <xf numFmtId="0" fontId="25" fillId="0" borderId="12" xfId="0" applyFont="1" applyBorder="1" applyAlignment="1">
      <alignment horizontal="left" vertical="center"/>
    </xf>
    <xf numFmtId="0" fontId="25" fillId="9" borderId="4" xfId="0" applyFont="1" applyFill="1" applyBorder="1" applyAlignment="1">
      <alignment vertical="center" wrapText="1"/>
    </xf>
    <xf numFmtId="0" fontId="25" fillId="14" borderId="27" xfId="0" applyFont="1" applyFill="1" applyBorder="1" applyAlignment="1">
      <alignment horizontal="center" vertical="center"/>
    </xf>
    <xf numFmtId="0" fontId="25" fillId="12" borderId="4" xfId="0" applyFont="1" applyFill="1" applyBorder="1" applyAlignment="1">
      <alignment horizontal="center" vertical="center"/>
    </xf>
    <xf numFmtId="0" fontId="25" fillId="14" borderId="4" xfId="0" applyFont="1" applyFill="1" applyBorder="1" applyAlignment="1">
      <alignment horizontal="center" vertical="center"/>
    </xf>
    <xf numFmtId="0" fontId="25" fillId="12" borderId="30" xfId="0" applyFont="1" applyFill="1" applyBorder="1" applyAlignment="1">
      <alignment horizontal="center" vertical="center"/>
    </xf>
    <xf numFmtId="0" fontId="25" fillId="14" borderId="30" xfId="0" applyFont="1" applyFill="1" applyBorder="1" applyAlignment="1">
      <alignment horizontal="center" vertical="center"/>
    </xf>
    <xf numFmtId="0" fontId="25" fillId="10" borderId="22" xfId="0" applyFont="1" applyFill="1" applyBorder="1" applyAlignment="1">
      <alignment horizontal="left" vertical="center"/>
    </xf>
    <xf numFmtId="0" fontId="25" fillId="11" borderId="23" xfId="0" applyFont="1" applyFill="1" applyBorder="1" applyAlignment="1">
      <alignment horizontal="left" vertical="center"/>
    </xf>
    <xf numFmtId="0" fontId="25" fillId="7" borderId="12" xfId="0" applyFont="1" applyFill="1" applyBorder="1" applyAlignment="1">
      <alignment horizontal="left" vertical="center" wrapText="1"/>
    </xf>
    <xf numFmtId="0" fontId="25" fillId="7" borderId="0" xfId="0" applyFont="1" applyFill="1" applyAlignment="1">
      <alignment horizontal="left" vertical="center"/>
    </xf>
    <xf numFmtId="0" fontId="25" fillId="0" borderId="0" xfId="0" applyFont="1"/>
    <xf numFmtId="0" fontId="11" fillId="0" borderId="10" xfId="0" applyFont="1" applyBorder="1" applyAlignment="1">
      <alignment horizontal="center" vertical="center"/>
    </xf>
    <xf numFmtId="0" fontId="33" fillId="0" borderId="0" xfId="0" applyFont="1"/>
    <xf numFmtId="0" fontId="34" fillId="0" borderId="0" xfId="0" applyFont="1"/>
    <xf numFmtId="0" fontId="11" fillId="0" borderId="25" xfId="0" applyFont="1" applyBorder="1" applyAlignment="1">
      <alignment horizontal="center" vertical="center"/>
    </xf>
    <xf numFmtId="0" fontId="25" fillId="12" borderId="10" xfId="0" applyFont="1" applyFill="1" applyBorder="1" applyAlignment="1">
      <alignment horizontal="center" vertical="center"/>
    </xf>
    <xf numFmtId="0" fontId="25" fillId="14" borderId="10" xfId="0" applyFont="1" applyFill="1" applyBorder="1" applyAlignment="1">
      <alignment horizontal="center" vertical="center"/>
    </xf>
    <xf numFmtId="0" fontId="25" fillId="13" borderId="27" xfId="0" applyFont="1" applyFill="1" applyBorder="1" applyAlignment="1">
      <alignment horizontal="center" vertical="center"/>
    </xf>
    <xf numFmtId="0" fontId="12" fillId="3" borderId="33" xfId="0" applyFont="1" applyFill="1" applyBorder="1" applyAlignment="1">
      <alignment horizontal="center"/>
    </xf>
    <xf numFmtId="0" fontId="12" fillId="3" borderId="34" xfId="0" applyFont="1" applyFill="1" applyBorder="1" applyAlignment="1">
      <alignment horizontal="center" wrapText="1"/>
    </xf>
    <xf numFmtId="0" fontId="12" fillId="3" borderId="34" xfId="0" applyFont="1" applyFill="1" applyBorder="1" applyAlignment="1">
      <alignment horizontal="center" vertical="center" wrapText="1"/>
    </xf>
    <xf numFmtId="0" fontId="12" fillId="3" borderId="35" xfId="0" applyFont="1" applyFill="1" applyBorder="1" applyAlignment="1">
      <alignment horizontal="center" vertical="center" wrapText="1"/>
    </xf>
    <xf numFmtId="2" fontId="11" fillId="0" borderId="12" xfId="0" applyNumberFormat="1" applyFont="1" applyBorder="1" applyAlignment="1">
      <alignment horizontal="right" vertical="center"/>
    </xf>
    <xf numFmtId="0" fontId="23" fillId="0" borderId="6" xfId="0" applyFont="1" applyBorder="1"/>
    <xf numFmtId="1" fontId="11" fillId="0" borderId="14" xfId="0" applyNumberFormat="1" applyFont="1" applyBorder="1" applyAlignment="1">
      <alignment horizontal="center" vertical="center"/>
    </xf>
    <xf numFmtId="0" fontId="35" fillId="0" borderId="0" xfId="0" applyFont="1"/>
    <xf numFmtId="0" fontId="25" fillId="0" borderId="0" xfId="0" applyFont="1" applyAlignment="1">
      <alignment horizontal="center"/>
    </xf>
    <xf numFmtId="3" fontId="11" fillId="0" borderId="12" xfId="0" applyNumberFormat="1" applyFont="1" applyBorder="1" applyAlignment="1">
      <alignment horizontal="center" vertical="center"/>
    </xf>
    <xf numFmtId="10" fontId="11" fillId="18" borderId="4" xfId="7" applyNumberFormat="1" applyFont="1" applyFill="1" applyBorder="1"/>
    <xf numFmtId="9" fontId="25" fillId="17" borderId="4" xfId="0" applyNumberFormat="1" applyFont="1" applyFill="1" applyBorder="1"/>
    <xf numFmtId="2" fontId="11" fillId="18" borderId="12" xfId="0" applyNumberFormat="1" applyFont="1" applyFill="1" applyBorder="1" applyAlignment="1">
      <alignment horizontal="center" vertical="center"/>
    </xf>
    <xf numFmtId="4" fontId="11" fillId="18" borderId="12" xfId="0" applyNumberFormat="1" applyFont="1" applyFill="1" applyBorder="1" applyAlignment="1">
      <alignment horizontal="center" vertical="center"/>
    </xf>
    <xf numFmtId="2" fontId="11" fillId="18" borderId="13" xfId="0" applyNumberFormat="1" applyFont="1" applyFill="1" applyBorder="1" applyAlignment="1">
      <alignment horizontal="center" vertical="center"/>
    </xf>
    <xf numFmtId="4" fontId="11" fillId="18" borderId="13" xfId="0" applyNumberFormat="1" applyFont="1" applyFill="1" applyBorder="1" applyAlignment="1">
      <alignment horizontal="center" vertical="center"/>
    </xf>
    <xf numFmtId="2" fontId="11" fillId="18" borderId="37" xfId="0" applyNumberFormat="1" applyFont="1" applyFill="1" applyBorder="1" applyAlignment="1">
      <alignment horizontal="center" vertical="center"/>
    </xf>
    <xf numFmtId="4" fontId="11" fillId="18" borderId="37" xfId="0" applyNumberFormat="1" applyFont="1" applyFill="1" applyBorder="1" applyAlignment="1">
      <alignment horizontal="center" vertical="center"/>
    </xf>
    <xf numFmtId="2" fontId="11" fillId="18" borderId="36" xfId="0" applyNumberFormat="1" applyFont="1" applyFill="1" applyBorder="1" applyAlignment="1">
      <alignment horizontal="center" vertical="center"/>
    </xf>
    <xf numFmtId="4" fontId="11" fillId="18" borderId="36" xfId="0" applyNumberFormat="1" applyFont="1" applyFill="1" applyBorder="1" applyAlignment="1">
      <alignment horizontal="center" vertical="center"/>
    </xf>
    <xf numFmtId="0" fontId="25" fillId="9" borderId="12" xfId="0" applyFont="1" applyFill="1" applyBorder="1" applyAlignment="1">
      <alignment horizontal="left" vertical="center"/>
    </xf>
    <xf numFmtId="3" fontId="23" fillId="0" borderId="0" xfId="0" applyNumberFormat="1" applyFont="1"/>
    <xf numFmtId="0" fontId="31" fillId="0" borderId="4" xfId="0" applyFont="1" applyBorder="1" applyAlignment="1">
      <alignment vertical="center" wrapText="1"/>
    </xf>
    <xf numFmtId="0" fontId="10" fillId="0" borderId="0" xfId="0" applyFont="1" applyAlignment="1">
      <alignment horizontal="center" vertical="center"/>
    </xf>
    <xf numFmtId="0" fontId="22" fillId="4" borderId="12" xfId="0" applyFont="1" applyFill="1" applyBorder="1" applyAlignment="1">
      <alignment horizontal="left" vertical="center"/>
    </xf>
    <xf numFmtId="0" fontId="36" fillId="15" borderId="0" xfId="0" applyFont="1" applyFill="1" applyAlignment="1">
      <alignment horizontal="left" vertical="center"/>
    </xf>
    <xf numFmtId="14" fontId="25" fillId="16" borderId="4" xfId="0" applyNumberFormat="1" applyFont="1" applyFill="1" applyBorder="1" applyAlignment="1">
      <alignment horizontal="left" vertical="center"/>
    </xf>
    <xf numFmtId="0" fontId="11" fillId="0" borderId="25" xfId="0" applyFont="1" applyBorder="1" applyAlignment="1">
      <alignment vertical="center"/>
    </xf>
    <xf numFmtId="0" fontId="11" fillId="6" borderId="45" xfId="0" applyFont="1" applyFill="1" applyBorder="1" applyAlignment="1">
      <alignment vertical="center"/>
    </xf>
    <xf numFmtId="4" fontId="11" fillId="0" borderId="9" xfId="0" applyNumberFormat="1" applyFont="1" applyBorder="1" applyAlignment="1">
      <alignment horizontal="right" vertical="center"/>
    </xf>
    <xf numFmtId="4" fontId="11" fillId="0" borderId="46" xfId="0" applyNumberFormat="1" applyFont="1" applyBorder="1" applyAlignment="1">
      <alignment horizontal="right" vertical="center"/>
    </xf>
    <xf numFmtId="14" fontId="11" fillId="0" borderId="47" xfId="0" applyNumberFormat="1" applyFont="1" applyBorder="1" applyAlignment="1">
      <alignment vertical="center"/>
    </xf>
    <xf numFmtId="0" fontId="25" fillId="0" borderId="4" xfId="0" applyFont="1" applyBorder="1" applyAlignment="1">
      <alignment vertical="center"/>
    </xf>
    <xf numFmtId="0" fontId="11" fillId="0" borderId="13" xfId="0" applyFont="1" applyBorder="1" applyAlignment="1">
      <alignment vertical="center"/>
    </xf>
    <xf numFmtId="4" fontId="11" fillId="0" borderId="15" xfId="0" applyNumberFormat="1" applyFont="1" applyBorder="1" applyAlignment="1">
      <alignment horizontal="right" vertical="center"/>
    </xf>
    <xf numFmtId="0" fontId="11" fillId="0" borderId="5" xfId="0" applyFont="1" applyBorder="1" applyAlignment="1">
      <alignment vertical="center"/>
    </xf>
    <xf numFmtId="0" fontId="11" fillId="0" borderId="40" xfId="0" applyFont="1" applyBorder="1" applyAlignment="1">
      <alignment vertical="center"/>
    </xf>
    <xf numFmtId="0" fontId="11" fillId="0" borderId="16" xfId="0" applyFont="1" applyBorder="1" applyAlignment="1">
      <alignment vertical="center" wrapText="1"/>
    </xf>
    <xf numFmtId="0" fontId="28" fillId="8" borderId="13" xfId="0" applyFont="1" applyFill="1" applyBorder="1" applyAlignment="1">
      <alignment wrapText="1"/>
    </xf>
    <xf numFmtId="0" fontId="28" fillId="8" borderId="13" xfId="0" applyFont="1" applyFill="1" applyBorder="1"/>
    <xf numFmtId="0" fontId="26" fillId="0" borderId="13" xfId="9" applyBorder="1" applyAlignment="1">
      <alignment vertical="center" wrapText="1"/>
    </xf>
    <xf numFmtId="0" fontId="0" fillId="0" borderId="12" xfId="0" applyBorder="1"/>
    <xf numFmtId="0" fontId="26" fillId="0" borderId="12" xfId="9" applyBorder="1"/>
    <xf numFmtId="0" fontId="25" fillId="9" borderId="12" xfId="0" applyFont="1" applyFill="1" applyBorder="1" applyAlignment="1">
      <alignment vertical="center" wrapText="1"/>
    </xf>
    <xf numFmtId="0" fontId="25" fillId="9" borderId="9" xfId="0" applyFont="1" applyFill="1" applyBorder="1" applyAlignment="1">
      <alignment vertical="center" wrapText="1"/>
    </xf>
    <xf numFmtId="0" fontId="26" fillId="0" borderId="12" xfId="9" applyBorder="1" applyAlignment="1">
      <alignment vertical="center"/>
    </xf>
    <xf numFmtId="0" fontId="11" fillId="0" borderId="12" xfId="0" applyFont="1" applyBorder="1" applyAlignment="1" applyProtection="1">
      <alignment horizontal="left" vertical="center"/>
      <protection locked="0"/>
    </xf>
    <xf numFmtId="0" fontId="11" fillId="0" borderId="12" xfId="0" applyFont="1" applyBorder="1" applyAlignment="1" applyProtection="1">
      <alignment horizontal="left" vertical="center" wrapText="1"/>
      <protection locked="0"/>
    </xf>
    <xf numFmtId="0" fontId="11" fillId="7" borderId="12" xfId="0" applyFont="1" applyFill="1" applyBorder="1" applyAlignment="1">
      <alignment vertical="center"/>
    </xf>
    <xf numFmtId="0" fontId="11" fillId="0" borderId="10" xfId="0" applyFont="1" applyBorder="1" applyAlignment="1">
      <alignment vertical="center"/>
    </xf>
    <xf numFmtId="0" fontId="11" fillId="6" borderId="25" xfId="0" applyFont="1" applyFill="1" applyBorder="1" applyAlignment="1">
      <alignment vertical="center"/>
    </xf>
    <xf numFmtId="14" fontId="11" fillId="0" borderId="15" xfId="0" applyNumberFormat="1" applyFont="1" applyBorder="1" applyAlignment="1">
      <alignment vertical="center"/>
    </xf>
    <xf numFmtId="0" fontId="1" fillId="0" borderId="0" xfId="0" applyFont="1" applyAlignment="1">
      <alignment horizontal="left" vertical="center"/>
    </xf>
    <xf numFmtId="0" fontId="22" fillId="4" borderId="12" xfId="0" applyFont="1" applyFill="1" applyBorder="1" applyAlignment="1">
      <alignment vertical="center"/>
    </xf>
    <xf numFmtId="1" fontId="11" fillId="0" borderId="14" xfId="0" applyNumberFormat="1" applyFont="1" applyBorder="1" applyAlignment="1">
      <alignment horizontal="left" vertical="center" wrapText="1"/>
    </xf>
    <xf numFmtId="167" fontId="11" fillId="0" borderId="5" xfId="0" applyNumberFormat="1" applyFont="1" applyBorder="1" applyAlignment="1">
      <alignment horizontal="center" vertical="center"/>
    </xf>
    <xf numFmtId="0" fontId="38" fillId="0" borderId="0" xfId="0" applyFont="1" applyAlignment="1">
      <alignment wrapText="1"/>
    </xf>
    <xf numFmtId="0" fontId="39" fillId="0" borderId="0" xfId="0" applyFont="1"/>
    <xf numFmtId="0" fontId="40" fillId="0" borderId="0" xfId="0" applyFont="1" applyAlignment="1">
      <alignment wrapText="1"/>
    </xf>
    <xf numFmtId="0" fontId="38" fillId="0" borderId="0" xfId="0" applyFont="1"/>
    <xf numFmtId="0" fontId="41" fillId="0" borderId="4" xfId="0" applyFont="1" applyBorder="1" applyAlignment="1">
      <alignment wrapText="1"/>
    </xf>
    <xf numFmtId="0" fontId="38" fillId="0" borderId="9" xfId="0" applyFont="1" applyBorder="1"/>
    <xf numFmtId="0" fontId="38" fillId="0" borderId="5" xfId="0" applyFont="1" applyBorder="1" applyAlignment="1">
      <alignment horizontal="left" vertical="center" wrapText="1"/>
    </xf>
    <xf numFmtId="0" fontId="42" fillId="11" borderId="48" xfId="0" applyFont="1" applyFill="1" applyBorder="1" applyAlignment="1">
      <alignment horizontal="left" vertical="center"/>
    </xf>
    <xf numFmtId="0" fontId="38" fillId="0" borderId="4" xfId="0" applyFont="1" applyBorder="1"/>
    <xf numFmtId="0" fontId="42" fillId="11" borderId="9" xfId="0" applyFont="1" applyFill="1" applyBorder="1"/>
    <xf numFmtId="0" fontId="43" fillId="11" borderId="9" xfId="0" applyFont="1" applyFill="1" applyBorder="1"/>
    <xf numFmtId="14" fontId="25" fillId="16" borderId="10" xfId="0" applyNumberFormat="1" applyFont="1" applyFill="1" applyBorder="1" applyAlignment="1">
      <alignment horizontal="left" vertical="center"/>
    </xf>
    <xf numFmtId="0" fontId="36" fillId="15" borderId="50" xfId="0" applyFont="1" applyFill="1" applyBorder="1" applyAlignment="1">
      <alignment horizontal="left" vertical="center"/>
    </xf>
    <xf numFmtId="0" fontId="25" fillId="16" borderId="51" xfId="0" applyFont="1" applyFill="1" applyBorder="1" applyAlignment="1">
      <alignment horizontal="left" vertical="center"/>
    </xf>
    <xf numFmtId="0" fontId="25" fillId="0" borderId="52" xfId="0" applyFont="1" applyBorder="1"/>
    <xf numFmtId="0" fontId="36" fillId="15" borderId="53" xfId="0" applyFont="1" applyFill="1" applyBorder="1" applyAlignment="1">
      <alignment horizontal="left" vertical="center"/>
    </xf>
    <xf numFmtId="0" fontId="25" fillId="0" borderId="54" xfId="0" applyFont="1" applyBorder="1"/>
    <xf numFmtId="0" fontId="36" fillId="15" borderId="55" xfId="0" applyFont="1" applyFill="1" applyBorder="1" applyAlignment="1">
      <alignment horizontal="left" vertical="center"/>
    </xf>
    <xf numFmtId="0" fontId="25" fillId="16" borderId="56" xfId="0" applyFont="1" applyFill="1" applyBorder="1" applyAlignment="1">
      <alignment horizontal="left" vertical="center"/>
    </xf>
    <xf numFmtId="0" fontId="25" fillId="0" borderId="57" xfId="0" applyFont="1" applyBorder="1"/>
    <xf numFmtId="3" fontId="11" fillId="18" borderId="4" xfId="0" applyNumberFormat="1" applyFont="1" applyFill="1" applyBorder="1"/>
    <xf numFmtId="0" fontId="19" fillId="7" borderId="0" xfId="0" applyFont="1" applyFill="1"/>
    <xf numFmtId="2" fontId="25" fillId="0" borderId="14" xfId="0" applyNumberFormat="1" applyFont="1" applyBorder="1" applyAlignment="1">
      <alignment horizontal="center" vertical="center"/>
    </xf>
    <xf numFmtId="4" fontId="25" fillId="0" borderId="14" xfId="0" applyNumberFormat="1" applyFont="1" applyBorder="1" applyAlignment="1">
      <alignment horizontal="center" vertical="center"/>
    </xf>
    <xf numFmtId="165" fontId="25" fillId="0" borderId="14" xfId="0" applyNumberFormat="1" applyFont="1" applyBorder="1" applyAlignment="1">
      <alignment horizontal="center" vertical="center"/>
    </xf>
    <xf numFmtId="3" fontId="25" fillId="0" borderId="12" xfId="0" applyNumberFormat="1" applyFont="1" applyBorder="1" applyAlignment="1">
      <alignment horizontal="center" vertical="center"/>
    </xf>
    <xf numFmtId="168" fontId="11" fillId="0" borderId="12" xfId="0" applyNumberFormat="1" applyFont="1" applyBorder="1" applyAlignment="1">
      <alignment horizontal="center" vertical="center"/>
    </xf>
    <xf numFmtId="168" fontId="19" fillId="0" borderId="0" xfId="0" applyNumberFormat="1" applyFont="1"/>
    <xf numFmtId="3" fontId="11" fillId="0" borderId="12" xfId="0" applyNumberFormat="1" applyFont="1" applyBorder="1" applyAlignment="1">
      <alignment horizontal="left" vertical="center"/>
    </xf>
    <xf numFmtId="2" fontId="11" fillId="0" borderId="14" xfId="0" applyNumberFormat="1" applyFont="1" applyBorder="1" applyAlignment="1">
      <alignment horizontal="right" vertical="center"/>
    </xf>
    <xf numFmtId="2" fontId="11" fillId="0" borderId="15" xfId="0" applyNumberFormat="1" applyFont="1" applyBorder="1" applyAlignment="1">
      <alignment horizontal="right" vertical="center"/>
    </xf>
    <xf numFmtId="4" fontId="11" fillId="0" borderId="12" xfId="0" applyNumberFormat="1" applyFont="1" applyBorder="1" applyAlignment="1">
      <alignment vertical="center"/>
    </xf>
    <xf numFmtId="1" fontId="11" fillId="7" borderId="12" xfId="0" applyNumberFormat="1" applyFont="1" applyFill="1" applyBorder="1" applyAlignment="1">
      <alignment vertical="center"/>
    </xf>
    <xf numFmtId="168" fontId="25" fillId="0" borderId="12" xfId="0" applyNumberFormat="1" applyFont="1" applyBorder="1" applyAlignment="1">
      <alignment horizontal="right" vertical="center"/>
    </xf>
    <xf numFmtId="2" fontId="25" fillId="9" borderId="4" xfId="0" applyNumberFormat="1" applyFont="1" applyFill="1" applyBorder="1" applyAlignment="1">
      <alignment vertical="center" wrapText="1"/>
    </xf>
    <xf numFmtId="166" fontId="25" fillId="9" borderId="4" xfId="0" applyNumberFormat="1" applyFont="1" applyFill="1" applyBorder="1" applyAlignment="1">
      <alignment vertical="center" wrapText="1"/>
    </xf>
    <xf numFmtId="2" fontId="11" fillId="18" borderId="27" xfId="0" applyNumberFormat="1" applyFont="1" applyFill="1" applyBorder="1" applyAlignment="1">
      <alignment horizontal="center" vertical="center"/>
    </xf>
    <xf numFmtId="2" fontId="11" fillId="18" borderId="4" xfId="0" applyNumberFormat="1" applyFont="1" applyFill="1" applyBorder="1" applyAlignment="1">
      <alignment horizontal="center" vertical="center"/>
    </xf>
    <xf numFmtId="2" fontId="11" fillId="18" borderId="8" xfId="0" applyNumberFormat="1" applyFont="1" applyFill="1" applyBorder="1" applyAlignment="1">
      <alignment horizontal="center" vertical="center"/>
    </xf>
    <xf numFmtId="2" fontId="11" fillId="18" borderId="10" xfId="0" applyNumberFormat="1" applyFont="1" applyFill="1" applyBorder="1" applyAlignment="1">
      <alignment horizontal="center" vertical="center"/>
    </xf>
    <xf numFmtId="2" fontId="11" fillId="18" borderId="25" xfId="0" applyNumberFormat="1" applyFont="1" applyFill="1" applyBorder="1" applyAlignment="1">
      <alignment horizontal="center" vertical="center"/>
    </xf>
    <xf numFmtId="2" fontId="11" fillId="18" borderId="32" xfId="0" applyNumberFormat="1" applyFont="1" applyFill="1" applyBorder="1" applyAlignment="1">
      <alignment horizontal="center" vertical="center"/>
    </xf>
    <xf numFmtId="2" fontId="11" fillId="18" borderId="30" xfId="0" applyNumberFormat="1" applyFont="1" applyFill="1" applyBorder="1" applyAlignment="1">
      <alignment horizontal="center" vertical="center"/>
    </xf>
    <xf numFmtId="2" fontId="11" fillId="18" borderId="31" xfId="0" applyNumberFormat="1" applyFont="1" applyFill="1" applyBorder="1" applyAlignment="1">
      <alignment horizontal="center" vertical="center"/>
    </xf>
    <xf numFmtId="4" fontId="11" fillId="18" borderId="42" xfId="0" applyNumberFormat="1" applyFont="1" applyFill="1" applyBorder="1" applyAlignment="1">
      <alignment horizontal="center" vertical="center"/>
    </xf>
    <xf numFmtId="4" fontId="11" fillId="18" borderId="43" xfId="0" applyNumberFormat="1" applyFont="1" applyFill="1" applyBorder="1" applyAlignment="1">
      <alignment horizontal="center" vertical="center"/>
    </xf>
    <xf numFmtId="4" fontId="11" fillId="18" borderId="41" xfId="0" applyNumberFormat="1" applyFont="1" applyFill="1" applyBorder="1" applyAlignment="1">
      <alignment horizontal="center" vertical="center"/>
    </xf>
    <xf numFmtId="4" fontId="11" fillId="18" borderId="44" xfId="0" applyNumberFormat="1" applyFont="1" applyFill="1" applyBorder="1" applyAlignment="1">
      <alignment horizontal="center" vertical="center"/>
    </xf>
    <xf numFmtId="4" fontId="11" fillId="0" borderId="4" xfId="0" applyNumberFormat="1" applyFont="1" applyBorder="1" applyAlignment="1">
      <alignment horizontal="center" vertical="center"/>
    </xf>
    <xf numFmtId="168" fontId="11" fillId="0" borderId="4" xfId="0" applyNumberFormat="1" applyFont="1" applyBorder="1" applyAlignment="1">
      <alignment horizontal="center" vertical="center"/>
    </xf>
    <xf numFmtId="168" fontId="11" fillId="0" borderId="4" xfId="0" applyNumberFormat="1" applyFont="1" applyBorder="1" applyAlignment="1">
      <alignment horizontal="center" vertical="center" wrapText="1"/>
    </xf>
    <xf numFmtId="4" fontId="11" fillId="7" borderId="4" xfId="0" applyNumberFormat="1" applyFont="1" applyFill="1" applyBorder="1" applyAlignment="1">
      <alignment horizontal="center"/>
    </xf>
    <xf numFmtId="4" fontId="11" fillId="18" borderId="4" xfId="8" applyNumberFormat="1" applyFont="1" applyFill="1" applyBorder="1"/>
    <xf numFmtId="4" fontId="11" fillId="18" borderId="4" xfId="0" applyNumberFormat="1" applyFont="1" applyFill="1" applyBorder="1"/>
    <xf numFmtId="2" fontId="42" fillId="11" borderId="48" xfId="0" applyNumberFormat="1" applyFont="1" applyFill="1" applyBorder="1" applyAlignment="1">
      <alignment horizontal="left" vertical="center"/>
    </xf>
    <xf numFmtId="3" fontId="42" fillId="11" borderId="9" xfId="0" applyNumberFormat="1" applyFont="1" applyFill="1" applyBorder="1"/>
    <xf numFmtId="2" fontId="15" fillId="0" borderId="16" xfId="0" applyNumberFormat="1" applyFont="1" applyBorder="1" applyAlignment="1">
      <alignment horizontal="left" vertical="center"/>
    </xf>
    <xf numFmtId="0" fontId="31" fillId="7" borderId="12" xfId="0" applyFont="1" applyFill="1" applyBorder="1" applyAlignment="1">
      <alignment horizontal="left" vertical="center"/>
    </xf>
    <xf numFmtId="0" fontId="11" fillId="0" borderId="0" xfId="0" applyFont="1" applyAlignment="1">
      <alignment horizontal="left"/>
    </xf>
    <xf numFmtId="0" fontId="45" fillId="0" borderId="0" xfId="0" applyFont="1"/>
    <xf numFmtId="168" fontId="45" fillId="0" borderId="0" xfId="0" applyNumberFormat="1" applyFont="1"/>
    <xf numFmtId="4" fontId="25" fillId="16" borderId="13" xfId="0" applyNumberFormat="1" applyFont="1" applyFill="1" applyBorder="1" applyAlignment="1">
      <alignment horizontal="left" vertical="center"/>
    </xf>
    <xf numFmtId="0" fontId="46" fillId="0" borderId="0" xfId="0" applyFont="1" applyAlignment="1">
      <alignment vertical="center"/>
    </xf>
    <xf numFmtId="169" fontId="11" fillId="0" borderId="12" xfId="0" applyNumberFormat="1" applyFont="1" applyBorder="1" applyAlignment="1">
      <alignment horizontal="right" vertical="center"/>
    </xf>
    <xf numFmtId="0" fontId="25" fillId="0" borderId="0" xfId="0" applyFont="1" applyAlignment="1">
      <alignment wrapText="1"/>
    </xf>
    <xf numFmtId="0" fontId="14" fillId="0" borderId="0" xfId="0" applyFont="1" applyAlignment="1">
      <alignment wrapText="1"/>
    </xf>
    <xf numFmtId="0" fontId="25" fillId="0" borderId="0" xfId="0" applyFont="1" applyAlignment="1">
      <alignment horizontal="left" vertical="center"/>
    </xf>
    <xf numFmtId="168" fontId="25" fillId="0" borderId="0" xfId="0" applyNumberFormat="1" applyFont="1" applyAlignment="1">
      <alignment horizontal="right" vertical="center"/>
    </xf>
    <xf numFmtId="14" fontId="25" fillId="0" borderId="4" xfId="0" applyNumberFormat="1" applyFont="1" applyBorder="1"/>
    <xf numFmtId="14" fontId="25" fillId="0" borderId="10" xfId="0" applyNumberFormat="1" applyFont="1" applyBorder="1"/>
    <xf numFmtId="0" fontId="11" fillId="0" borderId="58" xfId="0" applyFont="1" applyBorder="1"/>
    <xf numFmtId="0" fontId="25" fillId="13" borderId="11" xfId="0" applyFont="1" applyFill="1" applyBorder="1" applyAlignment="1">
      <alignment horizontal="center" vertical="center"/>
    </xf>
    <xf numFmtId="0" fontId="25" fillId="13" borderId="5" xfId="0" applyFont="1" applyFill="1" applyBorder="1" applyAlignment="1">
      <alignment horizontal="center" vertical="center"/>
    </xf>
    <xf numFmtId="2" fontId="11" fillId="18" borderId="5" xfId="0" applyNumberFormat="1" applyFont="1" applyFill="1" applyBorder="1" applyAlignment="1">
      <alignment horizontal="center" vertical="center"/>
    </xf>
    <xf numFmtId="2" fontId="11" fillId="18" borderId="11" xfId="0" applyNumberFormat="1" applyFont="1" applyFill="1" applyBorder="1" applyAlignment="1">
      <alignment horizontal="center" vertical="center"/>
    </xf>
    <xf numFmtId="4" fontId="11" fillId="18" borderId="11" xfId="0" applyNumberFormat="1" applyFont="1" applyFill="1" applyBorder="1" applyAlignment="1">
      <alignment horizontal="center" vertical="center"/>
    </xf>
    <xf numFmtId="0" fontId="12" fillId="3" borderId="59" xfId="0" applyFont="1" applyFill="1" applyBorder="1" applyAlignment="1">
      <alignment horizontal="centerContinuous" wrapText="1"/>
    </xf>
    <xf numFmtId="0" fontId="12" fillId="3" borderId="60" xfId="0" applyFont="1" applyFill="1" applyBorder="1" applyAlignment="1">
      <alignment horizontal="centerContinuous" wrapText="1"/>
    </xf>
    <xf numFmtId="0" fontId="12" fillId="2" borderId="60" xfId="0" applyFont="1" applyFill="1" applyBorder="1" applyAlignment="1">
      <alignment horizontal="centerContinuous" vertical="center" wrapText="1"/>
    </xf>
    <xf numFmtId="0" fontId="11" fillId="2" borderId="61" xfId="0" applyFont="1" applyFill="1" applyBorder="1" applyAlignment="1">
      <alignment horizontal="centerContinuous"/>
    </xf>
    <xf numFmtId="0" fontId="12" fillId="3" borderId="64" xfId="0" applyFont="1" applyFill="1" applyBorder="1" applyAlignment="1">
      <alignment horizontal="center"/>
    </xf>
    <xf numFmtId="0" fontId="12" fillId="3" borderId="65" xfId="0" applyFont="1" applyFill="1" applyBorder="1" applyAlignment="1">
      <alignment horizontal="center" wrapText="1"/>
    </xf>
    <xf numFmtId="0" fontId="12" fillId="3" borderId="65" xfId="0" applyFont="1" applyFill="1" applyBorder="1" applyAlignment="1">
      <alignment horizontal="center"/>
    </xf>
    <xf numFmtId="0" fontId="12" fillId="3" borderId="66" xfId="0" applyFont="1" applyFill="1" applyBorder="1" applyAlignment="1">
      <alignment horizontal="center" vertical="center"/>
    </xf>
    <xf numFmtId="0" fontId="12" fillId="3" borderId="66" xfId="0" applyFont="1" applyFill="1" applyBorder="1" applyAlignment="1">
      <alignment horizontal="center" vertical="center" wrapText="1"/>
    </xf>
    <xf numFmtId="0" fontId="12" fillId="3" borderId="67" xfId="0" applyFont="1" applyFill="1" applyBorder="1" applyAlignment="1">
      <alignment horizontal="center" vertical="center" wrapText="1"/>
    </xf>
    <xf numFmtId="0" fontId="47" fillId="0" borderId="0" xfId="0" applyFont="1"/>
    <xf numFmtId="166" fontId="48" fillId="0" borderId="0" xfId="0" applyNumberFormat="1" applyFont="1"/>
    <xf numFmtId="166" fontId="11" fillId="0" borderId="12" xfId="0" applyNumberFormat="1" applyFont="1" applyBorder="1" applyAlignment="1">
      <alignment horizontal="center" vertical="center"/>
    </xf>
    <xf numFmtId="0" fontId="49" fillId="0" borderId="0" xfId="0" applyFont="1"/>
    <xf numFmtId="168" fontId="49" fillId="0" borderId="0" xfId="0" applyNumberFormat="1" applyFont="1"/>
    <xf numFmtId="0" fontId="50" fillId="19" borderId="0" xfId="0" applyFont="1" applyFill="1"/>
    <xf numFmtId="169" fontId="25" fillId="9" borderId="4" xfId="0" applyNumberFormat="1" applyFont="1" applyFill="1" applyBorder="1" applyAlignment="1">
      <alignment vertical="center" wrapText="1"/>
    </xf>
    <xf numFmtId="0" fontId="51" fillId="20" borderId="4" xfId="0" applyFont="1" applyFill="1" applyBorder="1" applyAlignment="1">
      <alignment vertical="center"/>
    </xf>
    <xf numFmtId="0" fontId="52" fillId="20" borderId="4" xfId="0" applyFont="1" applyFill="1" applyBorder="1" applyAlignment="1">
      <alignment vertical="center"/>
    </xf>
    <xf numFmtId="166" fontId="11" fillId="0" borderId="4" xfId="0" applyNumberFormat="1" applyFont="1" applyBorder="1" applyAlignment="1">
      <alignment vertical="center"/>
    </xf>
    <xf numFmtId="0" fontId="0" fillId="0" borderId="4" xfId="0" applyBorder="1" applyAlignment="1">
      <alignment vertical="center"/>
    </xf>
    <xf numFmtId="0" fontId="11" fillId="0" borderId="4" xfId="0" applyFont="1" applyBorder="1" applyAlignment="1">
      <alignment horizontal="left" vertical="center"/>
    </xf>
    <xf numFmtId="10" fontId="0" fillId="0" borderId="0" xfId="0" applyNumberFormat="1"/>
    <xf numFmtId="0" fontId="0" fillId="0" borderId="12" xfId="0" applyBorder="1" applyAlignment="1">
      <alignment horizontal="left" vertical="center" wrapText="1"/>
    </xf>
    <xf numFmtId="2" fontId="25" fillId="18" borderId="12" xfId="0" applyNumberFormat="1" applyFont="1" applyFill="1" applyBorder="1" applyAlignment="1">
      <alignment horizontal="left" vertical="center"/>
    </xf>
    <xf numFmtId="169" fontId="25" fillId="18" borderId="12" xfId="0" applyNumberFormat="1" applyFont="1" applyFill="1" applyBorder="1" applyAlignment="1">
      <alignment horizontal="left" vertical="center"/>
    </xf>
    <xf numFmtId="1" fontId="25" fillId="17" borderId="12" xfId="0" applyNumberFormat="1" applyFont="1" applyFill="1" applyBorder="1" applyAlignment="1">
      <alignment horizontal="left" vertical="center" wrapText="1"/>
    </xf>
    <xf numFmtId="0" fontId="25" fillId="17" borderId="12" xfId="0" applyFont="1" applyFill="1" applyBorder="1" applyAlignment="1">
      <alignment horizontal="left" vertical="center"/>
    </xf>
    <xf numFmtId="0" fontId="12" fillId="2" borderId="68" xfId="0" applyFont="1" applyFill="1" applyBorder="1" applyAlignment="1">
      <alignment horizontal="left" vertical="center"/>
    </xf>
    <xf numFmtId="0" fontId="12" fillId="2" borderId="12" xfId="0" applyFont="1" applyFill="1" applyBorder="1" applyAlignment="1">
      <alignment horizontal="left" vertical="center" wrapText="1"/>
    </xf>
    <xf numFmtId="0" fontId="53" fillId="2" borderId="12" xfId="0" applyFont="1" applyFill="1" applyBorder="1" applyAlignment="1">
      <alignment horizontal="left" vertical="center" wrapText="1"/>
    </xf>
    <xf numFmtId="2" fontId="25" fillId="17" borderId="12" xfId="0" applyNumberFormat="1" applyFont="1" applyFill="1" applyBorder="1" applyAlignment="1">
      <alignment horizontal="left" vertical="center"/>
    </xf>
    <xf numFmtId="1" fontId="25" fillId="17" borderId="12" xfId="0" applyNumberFormat="1" applyFont="1" applyFill="1" applyBorder="1" applyAlignment="1">
      <alignment horizontal="left" vertical="center"/>
    </xf>
    <xf numFmtId="2" fontId="11" fillId="0" borderId="16" xfId="0" applyNumberFormat="1" applyFont="1" applyBorder="1" applyAlignment="1">
      <alignment horizontal="left" vertical="center"/>
    </xf>
    <xf numFmtId="169" fontId="11" fillId="0" borderId="16" xfId="0" applyNumberFormat="1" applyFont="1" applyBorder="1" applyAlignment="1" applyProtection="1">
      <alignment horizontal="left" vertical="center"/>
      <protection locked="0"/>
    </xf>
    <xf numFmtId="169" fontId="11" fillId="0" borderId="16" xfId="0" applyNumberFormat="1" applyFont="1" applyBorder="1" applyAlignment="1">
      <alignment horizontal="left" vertical="center"/>
    </xf>
    <xf numFmtId="3" fontId="25" fillId="0" borderId="16" xfId="0" applyNumberFormat="1" applyFont="1" applyBorder="1" applyAlignment="1">
      <alignment horizontal="right" vertical="center"/>
    </xf>
    <xf numFmtId="168" fontId="25" fillId="0" borderId="16" xfId="0" applyNumberFormat="1" applyFont="1" applyBorder="1" applyAlignment="1">
      <alignment horizontal="right" vertical="center"/>
    </xf>
    <xf numFmtId="2" fontId="11" fillId="0" borderId="12" xfId="0" applyNumberFormat="1" applyFont="1" applyBorder="1" applyAlignment="1">
      <alignment vertical="center"/>
    </xf>
    <xf numFmtId="165" fontId="11" fillId="0" borderId="12" xfId="0" applyNumberFormat="1" applyFont="1" applyBorder="1" applyAlignment="1">
      <alignment vertical="center"/>
    </xf>
    <xf numFmtId="3" fontId="11" fillId="0" borderId="12" xfId="0" applyNumberFormat="1" applyFont="1" applyBorder="1" applyAlignment="1">
      <alignment vertical="center"/>
    </xf>
    <xf numFmtId="3" fontId="14" fillId="0" borderId="0" xfId="0" applyNumberFormat="1" applyFont="1" applyAlignment="1">
      <alignment wrapText="1"/>
    </xf>
    <xf numFmtId="2" fontId="15" fillId="0" borderId="12" xfId="0" applyNumberFormat="1" applyFont="1" applyBorder="1" applyAlignment="1">
      <alignment horizontal="left" vertical="center"/>
    </xf>
    <xf numFmtId="0" fontId="28" fillId="8" borderId="10" xfId="0" applyFont="1" applyFill="1" applyBorder="1"/>
    <xf numFmtId="0" fontId="44" fillId="0" borderId="49" xfId="0" applyFont="1" applyBorder="1" applyAlignment="1">
      <alignment horizontal="center" vertical="center" textRotation="90" wrapText="1"/>
    </xf>
    <xf numFmtId="0" fontId="14" fillId="0" borderId="0" xfId="0" applyFont="1" applyAlignment="1">
      <alignment horizontal="left" wrapText="1"/>
    </xf>
    <xf numFmtId="0" fontId="21" fillId="0" borderId="0" xfId="0" applyFont="1" applyAlignment="1">
      <alignment horizontal="left" wrapText="1"/>
    </xf>
    <xf numFmtId="0" fontId="22" fillId="5" borderId="16" xfId="0" applyFont="1" applyFill="1" applyBorder="1" applyAlignment="1">
      <alignment horizontal="left" vertical="center" wrapText="1"/>
    </xf>
    <xf numFmtId="0" fontId="22" fillId="5" borderId="18" xfId="0" applyFont="1" applyFill="1" applyBorder="1" applyAlignment="1">
      <alignment horizontal="left" vertical="center" wrapText="1"/>
    </xf>
    <xf numFmtId="0" fontId="22" fillId="5" borderId="14" xfId="0" applyFont="1" applyFill="1" applyBorder="1" applyAlignment="1">
      <alignment horizontal="left" vertical="center" wrapText="1"/>
    </xf>
    <xf numFmtId="0" fontId="37" fillId="5" borderId="8" xfId="0" applyFont="1" applyFill="1" applyBorder="1" applyAlignment="1">
      <alignment horizontal="left" vertical="center" wrapText="1"/>
    </xf>
    <xf numFmtId="0" fontId="22" fillId="5" borderId="38" xfId="0" applyFont="1" applyFill="1" applyBorder="1" applyAlignment="1">
      <alignment horizontal="left" vertical="center" wrapText="1"/>
    </xf>
    <xf numFmtId="0" fontId="22" fillId="5" borderId="39" xfId="0" applyFont="1" applyFill="1" applyBorder="1" applyAlignment="1">
      <alignment horizontal="left" vertical="center" wrapText="1"/>
    </xf>
    <xf numFmtId="0" fontId="10" fillId="0" borderId="0" xfId="0" applyFont="1" applyAlignment="1">
      <alignment horizontal="center" vertical="center"/>
    </xf>
    <xf numFmtId="0" fontId="51" fillId="20" borderId="4" xfId="0" applyFont="1" applyFill="1" applyBorder="1" applyAlignment="1">
      <alignment horizontal="center" vertical="center"/>
    </xf>
    <xf numFmtId="0" fontId="10" fillId="0" borderId="4" xfId="0" applyFont="1" applyBorder="1" applyAlignment="1">
      <alignment horizontal="center" vertical="center"/>
    </xf>
    <xf numFmtId="0" fontId="25" fillId="0" borderId="0" xfId="0" applyFont="1" applyAlignment="1">
      <alignment wrapText="1"/>
    </xf>
    <xf numFmtId="0" fontId="10" fillId="0" borderId="4" xfId="0" applyFont="1" applyBorder="1" applyAlignment="1">
      <alignment horizontal="center" vertical="center" wrapText="1"/>
    </xf>
    <xf numFmtId="0" fontId="12" fillId="3" borderId="62" xfId="0" applyFont="1" applyFill="1" applyBorder="1" applyAlignment="1">
      <alignment horizontal="center" vertical="center" wrapText="1"/>
    </xf>
    <xf numFmtId="0" fontId="12" fillId="3" borderId="61" xfId="0" applyFont="1" applyFill="1" applyBorder="1" applyAlignment="1">
      <alignment horizontal="center" vertical="center" wrapText="1"/>
    </xf>
    <xf numFmtId="0" fontId="12" fillId="3" borderId="63" xfId="0" applyFont="1" applyFill="1" applyBorder="1" applyAlignment="1">
      <alignment horizontal="center" vertical="center" wrapText="1"/>
    </xf>
    <xf numFmtId="0" fontId="11" fillId="0" borderId="26" xfId="0" applyFont="1" applyBorder="1" applyAlignment="1">
      <alignment horizontal="center"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5"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3" fillId="0" borderId="7" xfId="0" applyFont="1" applyBorder="1" applyAlignment="1">
      <alignment horizontal="center" vertical="center" wrapText="1"/>
    </xf>
    <xf numFmtId="0" fontId="38" fillId="0" borderId="0" xfId="0" applyFont="1" applyAlignment="1">
      <alignment wrapText="1"/>
    </xf>
    <xf numFmtId="0" fontId="40" fillId="0" borderId="0" xfId="0" applyFont="1" applyAlignment="1">
      <alignment wrapText="1"/>
    </xf>
    <xf numFmtId="0" fontId="39" fillId="0" borderId="0" xfId="0" applyFont="1" applyAlignment="1">
      <alignment wrapText="1"/>
    </xf>
    <xf numFmtId="0" fontId="55" fillId="21" borderId="0" xfId="9" applyFont="1" applyFill="1"/>
    <xf numFmtId="0" fontId="54" fillId="0" borderId="0" xfId="9" applyFont="1"/>
  </cellXfs>
  <cellStyles count="10">
    <cellStyle name="Comma 2" xfId="8" xr:uid="{B2E1072E-885D-4B56-9BA5-C32463F2DFA0}"/>
    <cellStyle name="Heading 1" xfId="1" builtinId="16" customBuiltin="1"/>
    <cellStyle name="Heading 2" xfId="2" builtinId="17" customBuiltin="1"/>
    <cellStyle name="Heading 3" xfId="3" builtinId="18" customBuiltin="1"/>
    <cellStyle name="Heading 4" xfId="4" builtinId="19" customBuiltin="1"/>
    <cellStyle name="Hyperlink" xfId="9" builtinId="8"/>
    <cellStyle name="Normal" xfId="0" builtinId="0"/>
    <cellStyle name="Normal 3" xfId="6" xr:uid="{8EE07C36-4B24-4CA3-AB33-AC611A43C6B7}"/>
    <cellStyle name="Percent" xfId="7" builtinId="5"/>
    <cellStyle name="Total" xfId="5" builtinId="25" customBuiltin="1"/>
  </cellStyles>
  <dxfs count="16">
    <dxf>
      <alignment vertical="center"/>
      <border diagonalUp="0" diagonalDown="0">
        <left style="thin">
          <color rgb="FF000000"/>
        </left>
        <right style="thin">
          <color rgb="FF000000"/>
        </right>
        <top style="thin">
          <color rgb="FF000000"/>
        </top>
        <bottom style="thin">
          <color rgb="FF000000"/>
        </bottom>
        <vertical/>
        <horizontal/>
      </border>
    </dxf>
    <dxf>
      <alignment vertical="center"/>
      <border diagonalUp="0" diagonalDown="0">
        <left style="thin">
          <color rgb="FF000000"/>
        </left>
        <right style="thin">
          <color rgb="FF000000"/>
        </right>
        <top style="thin">
          <color rgb="FF000000"/>
        </top>
        <bottom style="thin">
          <color rgb="FF000000"/>
        </bottom>
        <vertical/>
        <horizontal/>
      </border>
    </dxf>
    <dxf>
      <numFmt numFmtId="166" formatCode="0.000"/>
      <alignment vertical="center"/>
      <border diagonalUp="0" diagonalDown="0">
        <left style="thin">
          <color rgb="FF000000"/>
        </left>
        <right style="thin">
          <color rgb="FF000000"/>
        </right>
        <top style="thin">
          <color rgb="FF000000"/>
        </top>
        <bottom style="thin">
          <color rgb="FF000000"/>
        </bottom>
        <vertical/>
        <horizontal/>
      </border>
    </dxf>
    <dxf>
      <alignment vertical="center"/>
      <border diagonalUp="0" diagonalDown="0">
        <left style="thin">
          <color rgb="FF000000"/>
        </left>
        <right style="thin">
          <color rgb="FF000000"/>
        </right>
        <top style="thin">
          <color rgb="FF000000"/>
        </top>
        <bottom style="thin">
          <color rgb="FF000000"/>
        </bottom>
        <vertical/>
        <horizontal/>
      </border>
    </dxf>
    <dxf>
      <alignment vertical="center"/>
      <border diagonalUp="0" diagonalDown="0">
        <left style="thin">
          <color rgb="FF000000"/>
        </left>
        <right style="thin">
          <color rgb="FF000000"/>
        </right>
        <top style="thin">
          <color rgb="FF000000"/>
        </top>
        <bottom style="thin">
          <color rgb="FF000000"/>
        </bottom>
        <vertical/>
        <horizontal/>
      </border>
    </dxf>
    <dxf>
      <border outline="0">
        <top style="thin">
          <color rgb="FF2147ED"/>
        </top>
      </border>
    </dxf>
    <dxf>
      <alignment vertical="center"/>
    </dxf>
    <dxf>
      <font>
        <b/>
        <i val="0"/>
        <strike val="0"/>
        <condense val="0"/>
        <extend val="0"/>
        <outline val="0"/>
        <shadow val="0"/>
        <u val="none"/>
        <vertAlign val="baseline"/>
        <sz val="11"/>
        <color rgb="FFFFFFFF"/>
        <name val="Lora"/>
        <scheme val="none"/>
      </font>
      <fill>
        <patternFill patternType="solid">
          <fgColor rgb="FF000000"/>
          <bgColor rgb="FF000000"/>
        </patternFill>
      </fill>
      <alignment vertical="center"/>
    </dxf>
    <dxf>
      <fill>
        <patternFill>
          <bgColor theme="5"/>
        </patternFill>
      </fill>
    </dxf>
    <dxf>
      <fill>
        <patternFill>
          <bgColor rgb="FFFFFF00"/>
        </patternFill>
      </fill>
    </dxf>
    <dxf>
      <fill>
        <patternFill>
          <bgColor rgb="FFFFC000"/>
        </patternFill>
      </fill>
    </dxf>
    <dxf>
      <fill>
        <patternFill>
          <bgColor rgb="FFFF0000"/>
        </patternFill>
      </fill>
    </dxf>
    <dxf>
      <fill>
        <patternFill>
          <bgColor theme="5"/>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A6D9F7"/>
      <color rgb="FF283C71"/>
      <color rgb="FF213C72"/>
      <color rgb="FF163E78"/>
      <color rgb="FF183C73"/>
      <color rgb="FF366340"/>
      <color rgb="FFFFFFE1"/>
      <color rgb="FFFFFFCC"/>
      <color rgb="FF003F79"/>
      <color rgb="FFF5F1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carbon savings enabled (tCO2e)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6805774278215226E-2"/>
          <c:y val="0.17325555134737361"/>
          <c:w val="0.85874978127734036"/>
          <c:h val="0.74980348309079226"/>
        </c:manualLayout>
      </c:layout>
      <c:barChart>
        <c:barDir val="col"/>
        <c:grouping val="clustered"/>
        <c:varyColors val="0"/>
        <c:ser>
          <c:idx val="1"/>
          <c:order val="1"/>
          <c:tx>
            <c:strRef>
              <c:f>Calculator!$J$62</c:f>
              <c:strCache>
                <c:ptCount val="1"/>
                <c:pt idx="0">
                  <c:v>Higher range</c:v>
                </c:pt>
              </c:strCache>
            </c:strRef>
          </c:tx>
          <c:spPr>
            <a:solidFill>
              <a:schemeClr val="accent2"/>
            </a:solidFill>
            <a:ln>
              <a:noFill/>
            </a:ln>
            <a:effectLst/>
          </c:spPr>
          <c:invertIfNegative val="0"/>
          <c:cat>
            <c:strRef>
              <c:f>Calculator!$H$63</c:f>
              <c:strCache>
                <c:ptCount val="1"/>
                <c:pt idx="0">
                  <c:v>Total carbon savings enabled (tCO2e)</c:v>
                </c:pt>
              </c:strCache>
            </c:strRef>
          </c:cat>
          <c:val>
            <c:numRef>
              <c:f>Calculator!$J$63</c:f>
              <c:numCache>
                <c:formatCode>#,##0.0</c:formatCode>
                <c:ptCount val="1"/>
                <c:pt idx="0">
                  <c:v>-175.4</c:v>
                </c:pt>
              </c:numCache>
            </c:numRef>
          </c:val>
          <c:extLst>
            <c:ext xmlns:c16="http://schemas.microsoft.com/office/drawing/2014/chart" uri="{C3380CC4-5D6E-409C-BE32-E72D297353CC}">
              <c16:uniqueId val="{00000007-6642-4F9B-A6E0-E4A312EDEA08}"/>
            </c:ext>
          </c:extLst>
        </c:ser>
        <c:dLbls>
          <c:showLegendKey val="0"/>
          <c:showVal val="0"/>
          <c:showCatName val="0"/>
          <c:showSerName val="0"/>
          <c:showPercent val="0"/>
          <c:showBubbleSize val="0"/>
        </c:dLbls>
        <c:gapWidth val="219"/>
        <c:overlap val="-27"/>
        <c:axId val="1255614095"/>
        <c:axId val="1256311007"/>
        <c:extLst>
          <c:ext xmlns:c15="http://schemas.microsoft.com/office/drawing/2012/chart" uri="{02D57815-91ED-43cb-92C2-25804820EDAC}">
            <c15:filteredBarSeries>
              <c15:ser>
                <c:idx val="0"/>
                <c:order val="0"/>
                <c:tx>
                  <c:strRef>
                    <c:extLst>
                      <c:ext uri="{02D57815-91ED-43cb-92C2-25804820EDAC}">
                        <c15:formulaRef>
                          <c15:sqref>Calculator!$I$62</c15:sqref>
                        </c15:formulaRef>
                      </c:ext>
                    </c:extLst>
                    <c:strCache>
                      <c:ptCount val="1"/>
                      <c:pt idx="0">
                        <c:v>Lower range</c:v>
                      </c:pt>
                    </c:strCache>
                  </c:strRef>
                </c:tx>
                <c:spPr>
                  <a:solidFill>
                    <a:schemeClr val="accent1"/>
                  </a:solidFill>
                  <a:ln>
                    <a:noFill/>
                  </a:ln>
                  <a:effectLst/>
                </c:spPr>
                <c:invertIfNegative val="0"/>
                <c:cat>
                  <c:strRef>
                    <c:extLst>
                      <c:ext uri="{02D57815-91ED-43cb-92C2-25804820EDAC}">
                        <c15:formulaRef>
                          <c15:sqref>Calculator!$H$63</c15:sqref>
                        </c15:formulaRef>
                      </c:ext>
                    </c:extLst>
                    <c:strCache>
                      <c:ptCount val="1"/>
                      <c:pt idx="0">
                        <c:v>Total carbon savings enabled (tCO2e)</c:v>
                      </c:pt>
                    </c:strCache>
                  </c:strRef>
                </c:cat>
                <c:val>
                  <c:numRef>
                    <c:extLst>
                      <c:ext uri="{02D57815-91ED-43cb-92C2-25804820EDAC}">
                        <c15:formulaRef>
                          <c15:sqref>Calculator!$I$63</c15:sqref>
                        </c15:formulaRef>
                      </c:ext>
                    </c:extLst>
                    <c:numCache>
                      <c:formatCode>#,##0.0</c:formatCode>
                      <c:ptCount val="1"/>
                      <c:pt idx="0">
                        <c:v>-141.6</c:v>
                      </c:pt>
                    </c:numCache>
                  </c:numRef>
                </c:val>
                <c:extLst>
                  <c:ext xmlns:c16="http://schemas.microsoft.com/office/drawing/2014/chart" uri="{C3380CC4-5D6E-409C-BE32-E72D297353CC}">
                    <c16:uniqueId val="{00000005-6642-4F9B-A6E0-E4A312EDEA08}"/>
                  </c:ext>
                </c:extLst>
              </c15:ser>
            </c15:filteredBarSeries>
          </c:ext>
        </c:extLst>
      </c:barChart>
      <c:catAx>
        <c:axId val="1255614095"/>
        <c:scaling>
          <c:orientation val="minMax"/>
        </c:scaling>
        <c:delete val="1"/>
        <c:axPos val="b"/>
        <c:numFmt formatCode="General" sourceLinked="1"/>
        <c:majorTickMark val="none"/>
        <c:minorTickMark val="none"/>
        <c:tickLblPos val="nextTo"/>
        <c:crossAx val="1256311007"/>
        <c:crosses val="autoZero"/>
        <c:auto val="1"/>
        <c:lblAlgn val="ctr"/>
        <c:lblOffset val="100"/>
        <c:noMultiLvlLbl val="0"/>
      </c:catAx>
      <c:valAx>
        <c:axId val="125631100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561409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rgbClr val="183C73"/>
            </a:solidFill>
            <a:ln>
              <a:noFill/>
            </a:ln>
            <a:effectLst/>
          </c:spPr>
          <c:invertIfNegative val="0"/>
          <c:cat>
            <c:strRef>
              <c:f>'Sensitivity Analysis'!$O$6:$O$15</c:f>
              <c:strCache>
                <c:ptCount val="6"/>
                <c:pt idx="0">
                  <c:v>Computer (AI training device) activity data +5%/-5%</c:v>
                </c:pt>
                <c:pt idx="1">
                  <c:v>AI training electricity consumption activity data +5%/-5%</c:v>
                </c:pt>
                <c:pt idx="2">
                  <c:v> electricity reduction (annual) activity data +5%/-5%</c:v>
                </c:pt>
                <c:pt idx="3">
                  <c:v>Laptop emissions (proxy) per training emission factor +5%/-5%</c:v>
                </c:pt>
                <c:pt idx="4">
                  <c:v>Electricity grid EF (for AI training) emission factor +5%/-5%</c:v>
                </c:pt>
                <c:pt idx="5">
                  <c:v>Electricity grid EF (for avoided emissions) emission factor +5%/-5%</c:v>
                </c:pt>
              </c:strCache>
            </c:strRef>
          </c:cat>
          <c:val>
            <c:numRef>
              <c:f>'Sensitivity Analysis'!$M$6:$M$15</c:f>
              <c:numCache>
                <c:formatCode>0.00%</c:formatCode>
                <c:ptCount val="10"/>
                <c:pt idx="0">
                  <c:v>2.9288434597596336E-6</c:v>
                </c:pt>
                <c:pt idx="1">
                  <c:v>1.8969635620091907E-6</c:v>
                </c:pt>
                <c:pt idx="2">
                  <c:v>5.0004409462887089E-2</c:v>
                </c:pt>
                <c:pt idx="3">
                  <c:v>2.9288434597596336E-6</c:v>
                </c:pt>
                <c:pt idx="4">
                  <c:v>1.8969635620091907E-6</c:v>
                </c:pt>
                <c:pt idx="5">
                  <c:v>5.0004409462887089E-2</c:v>
                </c:pt>
              </c:numCache>
            </c:numRef>
          </c:val>
          <c:extLst>
            <c:ext xmlns:c16="http://schemas.microsoft.com/office/drawing/2014/chart" uri="{C3380CC4-5D6E-409C-BE32-E72D297353CC}">
              <c16:uniqueId val="{00000000-BF8A-4264-860E-63D8CABFC2A5}"/>
            </c:ext>
          </c:extLst>
        </c:ser>
        <c:ser>
          <c:idx val="1"/>
          <c:order val="1"/>
          <c:spPr>
            <a:solidFill>
              <a:srgbClr val="A6D9F7"/>
            </a:solidFill>
            <a:ln>
              <a:noFill/>
            </a:ln>
            <a:effectLst/>
          </c:spPr>
          <c:invertIfNegative val="0"/>
          <c:cat>
            <c:strRef>
              <c:f>'Sensitivity Analysis'!$O$6:$O$15</c:f>
              <c:strCache>
                <c:ptCount val="6"/>
                <c:pt idx="0">
                  <c:v>Computer (AI training device) activity data +5%/-5%</c:v>
                </c:pt>
                <c:pt idx="1">
                  <c:v>AI training electricity consumption activity data +5%/-5%</c:v>
                </c:pt>
                <c:pt idx="2">
                  <c:v> electricity reduction (annual) activity data +5%/-5%</c:v>
                </c:pt>
                <c:pt idx="3">
                  <c:v>Laptop emissions (proxy) per training emission factor +5%/-5%</c:v>
                </c:pt>
                <c:pt idx="4">
                  <c:v>Electricity grid EF (for AI training) emission factor +5%/-5%</c:v>
                </c:pt>
                <c:pt idx="5">
                  <c:v>Electricity grid EF (for avoided emissions) emission factor +5%/-5%</c:v>
                </c:pt>
              </c:strCache>
            </c:strRef>
          </c:cat>
          <c:val>
            <c:numRef>
              <c:f>'Sensitivity Analysis'!$N$6:$N$15</c:f>
              <c:numCache>
                <c:formatCode>0.00%</c:formatCode>
                <c:ptCount val="10"/>
                <c:pt idx="0">
                  <c:v>3.127071234398926E-6</c:v>
                </c:pt>
                <c:pt idx="1">
                  <c:v>4.1589511323714135E-6</c:v>
                </c:pt>
                <c:pt idx="2">
                  <c:v>-4.9998353548193042E-2</c:v>
                </c:pt>
                <c:pt idx="3">
                  <c:v>3.127071234398926E-6</c:v>
                </c:pt>
                <c:pt idx="4">
                  <c:v>4.1589511323714135E-6</c:v>
                </c:pt>
                <c:pt idx="5">
                  <c:v>-4.9998353548193042E-2</c:v>
                </c:pt>
              </c:numCache>
            </c:numRef>
          </c:val>
          <c:extLst>
            <c:ext xmlns:c16="http://schemas.microsoft.com/office/drawing/2014/chart" uri="{C3380CC4-5D6E-409C-BE32-E72D297353CC}">
              <c16:uniqueId val="{00000001-BF8A-4264-860E-63D8CABFC2A5}"/>
            </c:ext>
          </c:extLst>
        </c:ser>
        <c:dLbls>
          <c:showLegendKey val="0"/>
          <c:showVal val="0"/>
          <c:showCatName val="0"/>
          <c:showSerName val="0"/>
          <c:showPercent val="0"/>
          <c:showBubbleSize val="0"/>
        </c:dLbls>
        <c:gapWidth val="182"/>
        <c:axId val="850914463"/>
        <c:axId val="618690351"/>
      </c:barChart>
      <c:catAx>
        <c:axId val="850914463"/>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Lora" pitchFamily="2" charset="0"/>
                <a:ea typeface="+mn-ea"/>
                <a:cs typeface="+mn-cs"/>
              </a:defRPr>
            </a:pPr>
            <a:endParaRPr lang="en-US"/>
          </a:p>
        </c:txPr>
        <c:crossAx val="618690351"/>
        <c:crosses val="autoZero"/>
        <c:auto val="1"/>
        <c:lblAlgn val="ctr"/>
        <c:lblOffset val="100"/>
        <c:noMultiLvlLbl val="0"/>
      </c:catAx>
      <c:valAx>
        <c:axId val="618690351"/>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Lora" pitchFamily="2" charset="0"/>
                    <a:ea typeface="+mn-ea"/>
                    <a:cs typeface="+mn-cs"/>
                  </a:defRPr>
                </a:pPr>
                <a:r>
                  <a:rPr lang="en-GB">
                    <a:latin typeface="Lora" pitchFamily="2" charset="0"/>
                  </a:rPr>
                  <a:t>Percentage variation in net carbon impact </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Lora" pitchFamily="2" charset="0"/>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Lora" pitchFamily="2" charset="0"/>
                <a:ea typeface="+mn-ea"/>
                <a:cs typeface="+mn-cs"/>
              </a:defRPr>
            </a:pPr>
            <a:endParaRPr lang="en-US"/>
          </a:p>
        </c:txPr>
        <c:crossAx val="85091446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28575</xdr:colOff>
      <xdr:row>53</xdr:row>
      <xdr:rowOff>6349</xdr:rowOff>
    </xdr:from>
    <xdr:to>
      <xdr:col>2</xdr:col>
      <xdr:colOff>19050</xdr:colOff>
      <xdr:row>71</xdr:row>
      <xdr:rowOff>123824</xdr:rowOff>
    </xdr:to>
    <xdr:graphicFrame macro="">
      <xdr:nvGraphicFramePr>
        <xdr:cNvPr id="55" name="Chart 54">
          <a:extLst>
            <a:ext uri="{FF2B5EF4-FFF2-40B4-BE49-F238E27FC236}">
              <a16:creationId xmlns:a16="http://schemas.microsoft.com/office/drawing/2014/main" id="{35A4BD0B-CCF7-479C-8C98-B65B6CBFA3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123825</xdr:colOff>
      <xdr:row>0</xdr:row>
      <xdr:rowOff>95250</xdr:rowOff>
    </xdr:from>
    <xdr:to>
      <xdr:col>1</xdr:col>
      <xdr:colOff>1819275</xdr:colOff>
      <xdr:row>5</xdr:row>
      <xdr:rowOff>638175</xdr:rowOff>
    </xdr:to>
    <xdr:pic>
      <xdr:nvPicPr>
        <xdr:cNvPr id="2" name="Picture 1">
          <a:extLst>
            <a:ext uri="{FF2B5EF4-FFF2-40B4-BE49-F238E27FC236}">
              <a16:creationId xmlns:a16="http://schemas.microsoft.com/office/drawing/2014/main" id="{7A10A45B-B978-AE66-7269-BEB866AF0EE2}"/>
            </a:ext>
            <a:ext uri="{147F2762-F138-4A5C-976F-8EAC2B608ADB}">
              <a16:predDERef xmlns:a16="http://schemas.microsoft.com/office/drawing/2014/main" pred="{35A4BD0B-CCF7-479C-8C98-B65B6CBFA3CE}"/>
            </a:ext>
          </a:extLst>
        </xdr:cNvPr>
        <xdr:cNvPicPr>
          <a:picLocks noChangeAspect="1"/>
        </xdr:cNvPicPr>
      </xdr:nvPicPr>
      <xdr:blipFill>
        <a:blip xmlns:r="http://schemas.openxmlformats.org/officeDocument/2006/relationships" r:embed="rId2"/>
        <a:stretch>
          <a:fillRect/>
        </a:stretch>
      </xdr:blipFill>
      <xdr:spPr>
        <a:xfrm>
          <a:off x="571500" y="95250"/>
          <a:ext cx="1695450" cy="16954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624840</xdr:colOff>
      <xdr:row>16</xdr:row>
      <xdr:rowOff>95250</xdr:rowOff>
    </xdr:from>
    <xdr:to>
      <xdr:col>7</xdr:col>
      <xdr:colOff>895350</xdr:colOff>
      <xdr:row>39</xdr:row>
      <xdr:rowOff>7620</xdr:rowOff>
    </xdr:to>
    <xdr:graphicFrame macro="">
      <xdr:nvGraphicFramePr>
        <xdr:cNvPr id="2" name="Chart 1">
          <a:extLst>
            <a:ext uri="{FF2B5EF4-FFF2-40B4-BE49-F238E27FC236}">
              <a16:creationId xmlns:a16="http://schemas.microsoft.com/office/drawing/2014/main" id="{FE915D73-5D5E-4353-8C83-557BBF92AE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C992C36-768E-4F8C-9F9C-CD4951059A42}" name="Table2" displayName="Table2" ref="B8:F9" insertRow="1" totalsRowShown="0" headerRowDxfId="7" dataDxfId="6" tableBorderDxfId="5">
  <autoFilter ref="B8:F9" xr:uid="{7C992C36-768E-4F8C-9F9C-CD4951059A42}"/>
  <tableColumns count="5">
    <tableColumn id="1" xr3:uid="{F4D7A400-31E0-4F0E-86CD-92327AA0D593}" name="Emission Factors" dataDxfId="4"/>
    <tableColumn id="2" xr3:uid="{FC507194-2FF9-4BF4-B4DE-36ABD61A787E}" name="Description" dataDxfId="3"/>
    <tableColumn id="3" xr3:uid="{9FB5E340-10B7-47D1-AE02-6B47DB7FCB32}" name="Emissions" dataDxfId="2">
      <calculatedColumnFormula array="1">EmissionsComputerAItraining</calculatedColumnFormula>
    </tableColumn>
    <tableColumn id="4" xr3:uid="{66725EFA-5A64-4EF4-84EC-EF798BC45602}" name="Unit" dataDxfId="1"/>
    <tableColumn id="11" xr3:uid="{7FEBC9FF-14CB-4BE6-BB87-3D7ABB1DC898}" name="Source" dataDxfId="0"/>
  </tableColumns>
  <tableStyleInfo name="TableStyleLight13" showFirstColumn="0" showLastColumn="0" showRowStripes="1" showColumnStripes="0"/>
</table>
</file>

<file path=xl/theme/theme1.xml><?xml version="1.0" encoding="utf-8"?>
<a:theme xmlns:a="http://schemas.openxmlformats.org/drawingml/2006/main" name="Office Theme">
  <a:themeElements>
    <a:clrScheme name="Carbon Trust 1">
      <a:dk1>
        <a:srgbClr val="000000"/>
      </a:dk1>
      <a:lt1>
        <a:srgbClr val="FFFFFF"/>
      </a:lt1>
      <a:dk2>
        <a:srgbClr val="1D192B"/>
      </a:dk2>
      <a:lt2>
        <a:srgbClr val="00A7FF"/>
      </a:lt2>
      <a:accent1>
        <a:srgbClr val="2147ED"/>
      </a:accent1>
      <a:accent2>
        <a:srgbClr val="00FF6C"/>
      </a:accent2>
      <a:accent3>
        <a:srgbClr val="C724B1"/>
      </a:accent3>
      <a:accent4>
        <a:srgbClr val="00007F"/>
      </a:accent4>
      <a:accent5>
        <a:srgbClr val="D6D6D4"/>
      </a:accent5>
      <a:accent6>
        <a:srgbClr val="71FFFF"/>
      </a:accent6>
      <a:hlink>
        <a:srgbClr val="00007F"/>
      </a:hlink>
      <a:folHlink>
        <a:srgbClr val="A7B8F5"/>
      </a:folHlink>
    </a:clrScheme>
    <a:fontScheme name="Carbon Trust 1">
      <a:majorFont>
        <a:latin typeface="Arial"/>
        <a:ea typeface=""/>
        <a:cs typeface=""/>
      </a:majorFont>
      <a:minorFont>
        <a:latin typeface="Robot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ur02.safelinks.protection.outlook.com/?url=https%3A%2F%2Fwww.sawaco.com%2F&amp;data=05%7C02%7C%7Cfbc9e87cdba34fb7ee8508dea03bc2f6%7C96e14e5a57ac48d7851d12f54eff5a60%7C0%7C0%7C639124377772813095%7CUnknown%7CTWFpbGZsb3d8eyJFbXB0eU1hcGkiOnRydWUsIlYiOiIwLjAuMDAwMCIsIlAiOiJXaW4zMiIsIkFOIjoiTWFpbCIsIldUIjoyfQ%3D%3D%7C0%7C%7C%7C&amp;sdata=uAFTzaD1J5HB%2FZFcFft9jyil0dPsRuf9uorP41Gphbg%3D&amp;reserved=0" TargetMode="External"/><Relationship Id="rId1" Type="http://schemas.openxmlformats.org/officeDocument/2006/relationships/hyperlink" Target="mailto:awadi@sawaco.com"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se.com.sa/en/Investors/Column3/ESG/ESG-Performance-Interactive" TargetMode="External"/><Relationship Id="rId2" Type="http://schemas.openxmlformats.org/officeDocument/2006/relationships/hyperlink" Target="https://www.apple.com/environment/pdf/products/notebooks/MacBook_Air_15-inch_PER_June2023.pdf" TargetMode="External"/><Relationship Id="rId1" Type="http://schemas.openxmlformats.org/officeDocument/2006/relationships/hyperlink" Target="../../../../../../../../../../../../../../:x:/r/sites/Project-EUCommission-EGDCMovestoAction-Aug24/Shared%20Documents/General/3.%20Working%20Documents/Task%202%20-%20Case%20Studies/4.%20Case%20Study%20Development/1.%20Batch%201%20-%20July%202025/03.%20Colt/Calculator/EGDC%20Case%20Study%20Calculators%20-%20Colt%20Smart%20Building.xlsx?d=w073013bfdfc14a94b0d28d304eb59a8d&amp;csf=1&amp;web=1&amp;e=ChIEku&amp;nav=MTVfezU3QTA2MzI0LUMxRjktNEZCNi05NUI3LTMzMUE3Njk1MjM4RX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ple.com/environment/pdf/products/notebooks/MacBook_Air_15-inch_PER_June2023.pdf"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apple.com/environment/pdf/products/notebooks/MacBook_Air_15-inch_PER_June2023.pdf" TargetMode="Externa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se.com.sa/en/Investors/Column3/ESG/ESG-Performance-Interactiv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1B675-5F34-4A3C-87D5-8B49D1EFDB8E}">
  <sheetPr>
    <tabColor rgb="FFF5F17F"/>
  </sheetPr>
  <dimension ref="B2:B22"/>
  <sheetViews>
    <sheetView showGridLines="0" workbookViewId="0"/>
  </sheetViews>
  <sheetFormatPr defaultColWidth="8.75" defaultRowHeight="19.5"/>
  <cols>
    <col min="1" max="1" width="4.25" style="3" customWidth="1"/>
    <col min="2" max="2" width="155.875" style="4" customWidth="1"/>
    <col min="3" max="16384" width="8.75" style="3"/>
  </cols>
  <sheetData>
    <row r="2" spans="2:2">
      <c r="B2" s="19" t="s">
        <v>0</v>
      </c>
    </row>
    <row r="3" spans="2:2">
      <c r="B3" s="20"/>
    </row>
    <row r="4" spans="2:2" ht="35.1">
      <c r="B4" s="21" t="s">
        <v>1</v>
      </c>
    </row>
    <row r="5" spans="2:2">
      <c r="B5" s="21"/>
    </row>
    <row r="6" spans="2:2">
      <c r="B6" s="23" t="s">
        <v>2</v>
      </c>
    </row>
    <row r="7" spans="2:2">
      <c r="B7" s="21" t="s">
        <v>3</v>
      </c>
    </row>
    <row r="8" spans="2:2" ht="35.1">
      <c r="B8" s="22" t="s">
        <v>4</v>
      </c>
    </row>
    <row r="9" spans="2:2" ht="35.1">
      <c r="B9" s="22" t="s">
        <v>5</v>
      </c>
    </row>
    <row r="10" spans="2:2" ht="35.1">
      <c r="B10" s="22" t="s">
        <v>6</v>
      </c>
    </row>
    <row r="11" spans="2:2">
      <c r="B11" s="23" t="s">
        <v>7</v>
      </c>
    </row>
    <row r="12" spans="2:2" ht="35.1">
      <c r="B12" s="21" t="s">
        <v>8</v>
      </c>
    </row>
    <row r="13" spans="2:2" ht="35.1">
      <c r="B13" s="21" t="s">
        <v>9</v>
      </c>
    </row>
    <row r="14" spans="2:2">
      <c r="B14" s="23" t="s">
        <v>10</v>
      </c>
    </row>
    <row r="15" spans="2:2" ht="52.5">
      <c r="B15" s="21" t="s">
        <v>11</v>
      </c>
    </row>
    <row r="16" spans="2:2">
      <c r="B16" s="23" t="s">
        <v>12</v>
      </c>
    </row>
    <row r="17" spans="2:2">
      <c r="B17" s="21" t="s">
        <v>13</v>
      </c>
    </row>
    <row r="18" spans="2:2">
      <c r="B18" s="21" t="s">
        <v>14</v>
      </c>
    </row>
    <row r="19" spans="2:2">
      <c r="B19" s="21" t="s">
        <v>15</v>
      </c>
    </row>
    <row r="20" spans="2:2" ht="35.1">
      <c r="B20" s="21" t="s">
        <v>16</v>
      </c>
    </row>
    <row r="21" spans="2:2">
      <c r="B21" s="21"/>
    </row>
    <row r="22" spans="2:2" ht="52.5">
      <c r="B22" s="21" t="s">
        <v>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27FD3-668E-48B1-A7D3-0ED4FC912915}">
  <sheetPr>
    <tabColor rgb="FF366340"/>
  </sheetPr>
  <dimension ref="A1:L63"/>
  <sheetViews>
    <sheetView showGridLines="0" tabSelected="1" zoomScale="85" zoomScaleNormal="85" workbookViewId="0">
      <selection activeCell="B4" sqref="B4"/>
    </sheetView>
  </sheetViews>
  <sheetFormatPr defaultColWidth="8.75" defaultRowHeight="24"/>
  <cols>
    <col min="1" max="1" width="5.875" style="30" customWidth="1"/>
    <col min="2" max="2" width="39.875" style="30" customWidth="1"/>
    <col min="3" max="3" width="67.125" style="30" customWidth="1"/>
    <col min="4" max="4" width="65.5" style="30" customWidth="1"/>
    <col min="5" max="5" width="9.5" style="30" bestFit="1" customWidth="1"/>
    <col min="6" max="7" width="8.75" style="30" customWidth="1"/>
    <col min="8" max="8" width="62.875" style="30" customWidth="1"/>
    <col min="9" max="11" width="8.75" style="30"/>
    <col min="12" max="12" width="8.75" style="30" customWidth="1"/>
    <col min="13" max="16384" width="8.75" style="30"/>
  </cols>
  <sheetData>
    <row r="1" spans="2:6" ht="18.75" customHeight="1"/>
    <row r="2" spans="2:6" ht="18" customHeight="1">
      <c r="C2" s="49" t="s">
        <v>18</v>
      </c>
    </row>
    <row r="3" spans="2:6" ht="18" customHeight="1">
      <c r="C3" s="324" t="s">
        <v>19</v>
      </c>
    </row>
    <row r="4" spans="2:6" ht="18" customHeight="1">
      <c r="C4" s="49" t="s">
        <v>20</v>
      </c>
    </row>
    <row r="5" spans="2:6" ht="18" customHeight="1">
      <c r="C5" s="325" t="s">
        <v>21</v>
      </c>
    </row>
    <row r="6" spans="2:6" ht="85.5" customHeight="1">
      <c r="B6" s="296" t="s">
        <v>22</v>
      </c>
      <c r="C6" s="296"/>
      <c r="D6" s="296"/>
      <c r="E6" s="296"/>
    </row>
    <row r="7" spans="2:6" ht="87" customHeight="1">
      <c r="B7" s="301" t="s">
        <v>23</v>
      </c>
      <c r="C7" s="302"/>
      <c r="D7" s="302"/>
      <c r="E7" s="303"/>
    </row>
    <row r="8" spans="2:6" ht="11.25" customHeight="1">
      <c r="B8" s="124"/>
      <c r="C8" s="31"/>
      <c r="D8" s="31"/>
      <c r="E8" s="124"/>
      <c r="F8" s="32"/>
    </row>
    <row r="9" spans="2:6" ht="11.25" customHeight="1"/>
    <row r="10" spans="2:6" ht="26.45">
      <c r="B10" s="296" t="s">
        <v>24</v>
      </c>
      <c r="C10" s="296"/>
      <c r="D10" s="296"/>
      <c r="E10" s="296"/>
    </row>
    <row r="11" spans="2:6">
      <c r="B11" s="297" t="s">
        <v>25</v>
      </c>
      <c r="C11" s="297"/>
      <c r="D11" s="297"/>
      <c r="E11" s="297"/>
    </row>
    <row r="12" spans="2:6" ht="40.35" customHeight="1">
      <c r="B12" s="298" t="s">
        <v>26</v>
      </c>
      <c r="C12" s="299"/>
      <c r="D12" s="299"/>
      <c r="E12" s="300"/>
    </row>
    <row r="13" spans="2:6" ht="33" customHeight="1">
      <c r="B13" s="297" t="s">
        <v>27</v>
      </c>
      <c r="C13" s="297"/>
      <c r="D13" s="297"/>
      <c r="E13" s="297"/>
    </row>
    <row r="14" spans="2:6" ht="145.5" customHeight="1">
      <c r="B14" s="298" t="s">
        <v>28</v>
      </c>
      <c r="C14" s="299"/>
      <c r="D14" s="299"/>
      <c r="E14" s="300"/>
    </row>
    <row r="15" spans="2:6" ht="30" customHeight="1">
      <c r="B15" s="297" t="s">
        <v>29</v>
      </c>
      <c r="C15" s="297"/>
      <c r="D15" s="297"/>
      <c r="E15" s="297"/>
    </row>
    <row r="16" spans="2:6" ht="24.75" customHeight="1">
      <c r="B16" s="298" t="s">
        <v>30</v>
      </c>
      <c r="C16" s="299"/>
      <c r="D16" s="299"/>
      <c r="E16" s="300"/>
    </row>
    <row r="17" spans="2:6">
      <c r="B17" s="124"/>
      <c r="C17" s="124"/>
      <c r="D17" s="124"/>
      <c r="E17" s="124"/>
      <c r="F17" s="32"/>
    </row>
    <row r="18" spans="2:6" ht="26.45">
      <c r="B18" s="296" t="s">
        <v>31</v>
      </c>
      <c r="C18" s="296"/>
      <c r="D18" s="296"/>
      <c r="E18" s="296"/>
    </row>
    <row r="19" spans="2:6" ht="10.5" customHeight="1">
      <c r="B19" s="1"/>
    </row>
    <row r="20" spans="2:6">
      <c r="B20" s="297" t="s">
        <v>32</v>
      </c>
      <c r="C20" s="297"/>
      <c r="D20" s="297"/>
      <c r="E20" s="297"/>
    </row>
    <row r="21" spans="2:6">
      <c r="B21" s="37" t="s">
        <v>33</v>
      </c>
      <c r="C21" s="38" t="s">
        <v>34</v>
      </c>
      <c r="D21" s="36"/>
      <c r="E21" s="36"/>
    </row>
    <row r="22" spans="2:6" ht="24" customHeight="1">
      <c r="B22" s="37" t="s">
        <v>35</v>
      </c>
      <c r="C22" s="39" t="s">
        <v>36</v>
      </c>
      <c r="D22" s="33"/>
    </row>
    <row r="23" spans="2:6" ht="24" customHeight="1">
      <c r="B23" s="37" t="s">
        <v>37</v>
      </c>
      <c r="C23" s="197">
        <v>36.549999999999997</v>
      </c>
      <c r="D23" s="33"/>
    </row>
    <row r="24" spans="2:6" ht="24" customHeight="1">
      <c r="B24" s="37" t="s">
        <v>38</v>
      </c>
      <c r="C24" s="198">
        <v>84791.14</v>
      </c>
      <c r="D24" s="33"/>
    </row>
    <row r="25" spans="2:6" ht="24" customHeight="1">
      <c r="B25" s="37" t="s">
        <v>39</v>
      </c>
      <c r="C25" s="199">
        <v>1.9</v>
      </c>
      <c r="D25" s="33"/>
    </row>
    <row r="26" spans="2:6">
      <c r="B26" s="37" t="s">
        <v>40</v>
      </c>
      <c r="C26" s="125">
        <v>2024</v>
      </c>
      <c r="D26" s="33"/>
    </row>
    <row r="27" spans="2:6" ht="219" customHeight="1">
      <c r="B27" s="172" t="s">
        <v>41</v>
      </c>
      <c r="C27" s="173" t="s">
        <v>42</v>
      </c>
      <c r="D27" s="36"/>
      <c r="E27" s="36"/>
    </row>
    <row r="28" spans="2:6" ht="24.75" customHeight="1">
      <c r="B28" s="296" t="s">
        <v>43</v>
      </c>
      <c r="C28" s="296"/>
      <c r="D28" s="296"/>
      <c r="E28" s="296"/>
    </row>
    <row r="29" spans="2:6">
      <c r="B29" s="297" t="s">
        <v>44</v>
      </c>
      <c r="C29" s="297"/>
      <c r="D29" s="297"/>
      <c r="E29" s="297"/>
    </row>
    <row r="30" spans="2:6" ht="10.5" customHeight="1">
      <c r="B30" s="36"/>
      <c r="C30" s="36"/>
      <c r="D30" s="36"/>
      <c r="E30" s="36"/>
    </row>
    <row r="31" spans="2:6" ht="30.6" customHeight="1">
      <c r="B31" s="143" t="s">
        <v>45</v>
      </c>
      <c r="C31" s="200">
        <v>542737</v>
      </c>
      <c r="D31" s="33"/>
    </row>
    <row r="32" spans="2:6" ht="12" customHeight="1"/>
    <row r="33" spans="1:12">
      <c r="B33" s="126" t="s">
        <v>46</v>
      </c>
    </row>
    <row r="34" spans="1:12">
      <c r="B34" s="111"/>
      <c r="C34" s="127" t="s">
        <v>47</v>
      </c>
      <c r="D34" s="127" t="s">
        <v>48</v>
      </c>
    </row>
    <row r="35" spans="1:12">
      <c r="B35" s="144" t="str">
        <f>Backend!B17</f>
        <v>Data period start</v>
      </c>
      <c r="C35" s="145">
        <v>45292</v>
      </c>
      <c r="D35" s="243"/>
      <c r="E35" s="33" t="str">
        <f>Backend!D17</f>
        <v>date</v>
      </c>
    </row>
    <row r="36" spans="1:12">
      <c r="B36" s="144" t="str">
        <f>Backend!B18</f>
        <v>Data period end</v>
      </c>
      <c r="C36" s="186">
        <v>45616</v>
      </c>
      <c r="D36" s="244"/>
      <c r="E36" s="33" t="str">
        <f>Backend!D18</f>
        <v>date</v>
      </c>
    </row>
    <row r="37" spans="1:12" ht="27" customHeight="1">
      <c r="A37" s="295"/>
      <c r="B37" s="187" t="s">
        <v>49</v>
      </c>
      <c r="C37" s="188">
        <f>C23</f>
        <v>36.549999999999997</v>
      </c>
      <c r="D37" s="189"/>
      <c r="E37" s="33" t="s">
        <v>50</v>
      </c>
    </row>
    <row r="38" spans="1:12" ht="46.5" customHeight="1">
      <c r="A38" s="295"/>
      <c r="B38" s="190" t="s">
        <v>51</v>
      </c>
      <c r="C38" s="236">
        <f>C24</f>
        <v>84791.14</v>
      </c>
      <c r="D38" s="191"/>
      <c r="E38" s="33" t="s">
        <v>52</v>
      </c>
    </row>
    <row r="39" spans="1:12" ht="53.25" customHeight="1">
      <c r="A39" s="295"/>
      <c r="B39" s="192" t="s">
        <v>39</v>
      </c>
      <c r="C39" s="193">
        <f>C25</f>
        <v>1.9</v>
      </c>
      <c r="D39" s="194"/>
      <c r="E39" s="33" t="s">
        <v>53</v>
      </c>
    </row>
    <row r="40" spans="1:12" ht="35.25" customHeight="1">
      <c r="B40" s="237" t="s">
        <v>54</v>
      </c>
    </row>
    <row r="41" spans="1:12" ht="30" customHeight="1">
      <c r="G41" s="114"/>
    </row>
    <row r="42" spans="1:12" ht="26.45">
      <c r="B42" s="240" t="s">
        <v>55</v>
      </c>
      <c r="C42" s="240"/>
      <c r="D42" s="240"/>
      <c r="E42" s="292"/>
      <c r="G42" s="114"/>
      <c r="I42" s="35"/>
      <c r="J42" s="35"/>
      <c r="K42" s="35"/>
    </row>
    <row r="43" spans="1:12">
      <c r="B43" s="3" t="s">
        <v>56</v>
      </c>
      <c r="C43" s="128">
        <f>Backend!E7</f>
        <v>4425227.0039999997</v>
      </c>
      <c r="D43" s="3" t="s">
        <v>57</v>
      </c>
      <c r="E43" s="140"/>
      <c r="G43" s="114"/>
      <c r="I43" s="234"/>
      <c r="J43" s="235"/>
      <c r="K43" s="235"/>
      <c r="L43" s="202"/>
    </row>
    <row r="44" spans="1:12">
      <c r="B44" s="3" t="s">
        <v>58</v>
      </c>
      <c r="C44" s="128">
        <f>Backend!E8</f>
        <v>4138745.3660000004</v>
      </c>
      <c r="D44" s="3" t="s">
        <v>57</v>
      </c>
    </row>
    <row r="45" spans="1:12">
      <c r="B45" s="3" t="s">
        <v>59</v>
      </c>
      <c r="C45" s="128">
        <f>Backend!N13</f>
        <v>7.2775384615384606</v>
      </c>
      <c r="D45" s="3" t="s">
        <v>57</v>
      </c>
      <c r="E45" s="140"/>
      <c r="G45" s="114"/>
    </row>
    <row r="46" spans="1:12">
      <c r="B46" s="3" t="s">
        <v>60</v>
      </c>
      <c r="C46" s="174">
        <f>(C43-(C44+C45))/C43</f>
        <v>6.4736647453925225E-2</v>
      </c>
      <c r="D46" s="3" t="s">
        <v>61</v>
      </c>
      <c r="E46" s="35"/>
      <c r="G46" s="35"/>
    </row>
    <row r="47" spans="1:12" s="113" customFormat="1" ht="30" customHeight="1">
      <c r="A47" s="35"/>
      <c r="B47" s="24" t="s">
        <v>62</v>
      </c>
      <c r="C47" s="201">
        <f>Backend!N25*$I$54</f>
        <v>-157.56054748461514</v>
      </c>
      <c r="D47" s="3" t="s">
        <v>63</v>
      </c>
      <c r="E47" s="140"/>
      <c r="F47" s="35"/>
      <c r="G47" s="114"/>
      <c r="H47" s="35"/>
      <c r="I47" s="35"/>
      <c r="J47" s="35"/>
      <c r="K47" s="35"/>
      <c r="L47" s="35"/>
    </row>
    <row r="48" spans="1:12" s="113" customFormat="1" ht="23.25" customHeight="1">
      <c r="A48" s="35"/>
      <c r="B48" s="3" t="s">
        <v>64</v>
      </c>
      <c r="C48" s="263">
        <f>Backend!M24</f>
        <v>-0.25849285781369791</v>
      </c>
      <c r="D48" s="3" t="s">
        <v>65</v>
      </c>
      <c r="E48" s="35"/>
      <c r="F48" s="35"/>
      <c r="G48" s="35"/>
      <c r="H48" s="35"/>
      <c r="I48" s="35"/>
      <c r="J48" s="35"/>
      <c r="K48" s="35"/>
      <c r="L48" s="35"/>
    </row>
    <row r="49" spans="2:10">
      <c r="B49" s="2" t="s">
        <v>66</v>
      </c>
      <c r="C49" s="201">
        <f>Backend!N25</f>
        <v>-157.56054748461514</v>
      </c>
      <c r="D49" s="233" t="s">
        <v>67</v>
      </c>
      <c r="E49" s="35"/>
    </row>
    <row r="50" spans="2:10" ht="53.25" customHeight="1">
      <c r="B50" s="296" t="s">
        <v>68</v>
      </c>
      <c r="C50" s="296"/>
      <c r="D50" s="296"/>
      <c r="E50" s="296"/>
      <c r="F50" s="196"/>
      <c r="G50" s="196"/>
    </row>
    <row r="51" spans="2:10">
      <c r="B51" s="24" t="s">
        <v>69</v>
      </c>
      <c r="C51" s="224">
        <f>ROUND('Uncertainty Analysis'!G10*$I$54,1)</f>
        <v>-141.6</v>
      </c>
      <c r="D51" s="3" t="s">
        <v>70</v>
      </c>
      <c r="F51" s="196"/>
      <c r="G51" s="196"/>
    </row>
    <row r="52" spans="2:10">
      <c r="B52" s="24" t="s">
        <v>71</v>
      </c>
      <c r="C52" s="224">
        <f>ROUND('Uncertainty Analysis'!F10*$I$54,1)</f>
        <v>-175.4</v>
      </c>
      <c r="D52" s="3" t="s">
        <v>70</v>
      </c>
      <c r="F52" s="196"/>
      <c r="G52" s="196"/>
    </row>
    <row r="53" spans="2:10">
      <c r="F53" s="196"/>
      <c r="G53" s="196"/>
    </row>
    <row r="54" spans="2:10">
      <c r="H54" s="261" t="s">
        <v>72</v>
      </c>
      <c r="I54" s="262">
        <f>IF(AND(ISNUMBER($D$35),ISNUMBER($D$36)),($D$36-$D$35+1)/365,1)</f>
        <v>1</v>
      </c>
    </row>
    <row r="56" spans="2:10">
      <c r="I56" s="30">
        <f>IF(AND(ISNUMBER($D$35),ISNUMBER($D$36)),($D$36-$D$35+1)/365,1)</f>
        <v>1</v>
      </c>
    </row>
    <row r="62" spans="2:10">
      <c r="H62" s="266" t="s">
        <v>73</v>
      </c>
      <c r="I62" s="266" t="s">
        <v>74</v>
      </c>
      <c r="J62" s="266" t="s">
        <v>75</v>
      </c>
    </row>
    <row r="63" spans="2:10">
      <c r="H63" s="264" t="s">
        <v>76</v>
      </c>
      <c r="I63" s="265">
        <f>C51</f>
        <v>-141.6</v>
      </c>
      <c r="J63" s="265">
        <f>C52</f>
        <v>-175.4</v>
      </c>
    </row>
  </sheetData>
  <sheetProtection sort="0" pivotTables="0"/>
  <mergeCells count="15">
    <mergeCell ref="A37:A39"/>
    <mergeCell ref="B50:E50"/>
    <mergeCell ref="B6:E6"/>
    <mergeCell ref="B18:E18"/>
    <mergeCell ref="B29:E29"/>
    <mergeCell ref="B10:E10"/>
    <mergeCell ref="B12:E12"/>
    <mergeCell ref="B11:E11"/>
    <mergeCell ref="B13:E13"/>
    <mergeCell ref="B14:E14"/>
    <mergeCell ref="B15:E15"/>
    <mergeCell ref="B16:E16"/>
    <mergeCell ref="B7:E7"/>
    <mergeCell ref="B20:E20"/>
    <mergeCell ref="B28:E28"/>
  </mergeCells>
  <phoneticPr fontId="7" type="noConversion"/>
  <hyperlinks>
    <hyperlink ref="C3" r:id="rId1" xr:uid="{4E74A9F4-C554-4CAB-B31D-238D7CFC0A5E}"/>
    <hyperlink ref="C5" r:id="rId2" xr:uid="{C1A797F0-4FC7-4C8E-827F-97E6D8125045}"/>
  </hyperlink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480F1-A67B-4DBB-B84C-7AFFAF9380B8}">
  <sheetPr>
    <tabColor rgb="FF046C8B"/>
  </sheetPr>
  <dimension ref="A1:T51"/>
  <sheetViews>
    <sheetView showGridLines="0" topLeftCell="A10" zoomScale="85" zoomScaleNormal="85" workbookViewId="0">
      <selection activeCell="C31" sqref="C31"/>
    </sheetView>
  </sheetViews>
  <sheetFormatPr defaultColWidth="8.75" defaultRowHeight="19.5"/>
  <cols>
    <col min="1" max="1" width="4.125" style="24" customWidth="1"/>
    <col min="2" max="2" width="105.375" style="24" customWidth="1"/>
    <col min="3" max="3" width="44.125" style="24" customWidth="1"/>
    <col min="4" max="4" width="19.5" style="24" customWidth="1"/>
    <col min="5" max="5" width="21.875" style="24" customWidth="1"/>
    <col min="6" max="6" width="5" style="63" customWidth="1"/>
    <col min="7" max="7" width="5" style="24" customWidth="1"/>
    <col min="8" max="8" width="6.75" style="24" customWidth="1"/>
    <col min="9" max="9" width="79.375" style="24" customWidth="1"/>
    <col min="10" max="10" width="106.25" style="24" customWidth="1"/>
    <col min="11" max="11" width="35.375" style="24" customWidth="1"/>
    <col min="12" max="12" width="15.25" style="24" customWidth="1"/>
    <col min="13" max="13" width="16.75" style="24" customWidth="1"/>
    <col min="14" max="14" width="21.125" style="24" customWidth="1"/>
    <col min="15" max="19" width="8.75" style="24"/>
    <col min="20" max="16384" width="8.75" style="3"/>
  </cols>
  <sheetData>
    <row r="1" spans="2:14" ht="24.6">
      <c r="B1" s="62" t="s">
        <v>43</v>
      </c>
      <c r="H1" s="304"/>
      <c r="I1" s="62" t="s">
        <v>77</v>
      </c>
    </row>
    <row r="2" spans="2:14" ht="18" customHeight="1">
      <c r="H2" s="304"/>
    </row>
    <row r="3" spans="2:14">
      <c r="B3" s="45" t="s">
        <v>44</v>
      </c>
      <c r="C3" s="45" t="s">
        <v>78</v>
      </c>
      <c r="D3" s="45" t="s">
        <v>79</v>
      </c>
      <c r="E3" s="45" t="s">
        <v>80</v>
      </c>
      <c r="H3" s="64"/>
      <c r="I3" s="64" t="s">
        <v>81</v>
      </c>
    </row>
    <row r="4" spans="2:14">
      <c r="B4" s="74" t="s">
        <v>82</v>
      </c>
      <c r="C4" s="79"/>
      <c r="D4" s="74" t="s">
        <v>83</v>
      </c>
      <c r="E4" s="203">
        <f>Calculator!C31</f>
        <v>542737</v>
      </c>
      <c r="H4" s="64"/>
      <c r="I4" s="64"/>
    </row>
    <row r="5" spans="2:14" ht="23.25" customHeight="1">
      <c r="H5" s="304" t="s">
        <v>84</v>
      </c>
      <c r="I5" s="50" t="s">
        <v>85</v>
      </c>
      <c r="J5" s="46" t="s">
        <v>86</v>
      </c>
      <c r="K5" s="46" t="s">
        <v>87</v>
      </c>
      <c r="L5" s="46" t="s">
        <v>88</v>
      </c>
      <c r="M5" s="46" t="s">
        <v>89</v>
      </c>
      <c r="N5" s="46" t="s">
        <v>90</v>
      </c>
    </row>
    <row r="6" spans="2:14">
      <c r="B6" s="45" t="s">
        <v>47</v>
      </c>
      <c r="C6" s="45" t="s">
        <v>78</v>
      </c>
      <c r="D6" s="45" t="s">
        <v>79</v>
      </c>
      <c r="E6" s="45" t="s">
        <v>80</v>
      </c>
      <c r="F6" s="66"/>
      <c r="G6" s="47"/>
      <c r="H6" s="304"/>
      <c r="I6" s="55" t="s">
        <v>91</v>
      </c>
      <c r="J6" s="67" t="s">
        <v>92</v>
      </c>
      <c r="K6" s="55" t="s">
        <v>93</v>
      </c>
      <c r="L6" s="55" t="s">
        <v>94</v>
      </c>
      <c r="M6" s="68" cm="1">
        <f t="array" ref="M6">E11*EFelectricitySaudiArabia</f>
        <v>3.9930000000000003</v>
      </c>
      <c r="N6" s="68" cm="1">
        <f t="array" ref="N6">E7*EFelectricitySaudiArabia</f>
        <v>2433874.8522000001</v>
      </c>
    </row>
    <row r="7" spans="2:14">
      <c r="B7" s="151" t="s">
        <v>95</v>
      </c>
      <c r="C7" s="7" t="s">
        <v>96</v>
      </c>
      <c r="D7" s="74" t="s">
        <v>57</v>
      </c>
      <c r="E7" s="148">
        <f>E11*E13</f>
        <v>4425227.0039999997</v>
      </c>
      <c r="F7" s="69"/>
      <c r="G7" s="42"/>
      <c r="H7" s="304"/>
      <c r="I7" s="64" t="s">
        <v>97</v>
      </c>
    </row>
    <row r="8" spans="2:14" ht="23.25" customHeight="1">
      <c r="B8" s="5" t="s">
        <v>98</v>
      </c>
      <c r="C8" s="7" t="s">
        <v>96</v>
      </c>
      <c r="D8" s="74" t="s">
        <v>57</v>
      </c>
      <c r="E8" s="149">
        <f>E12*E13</f>
        <v>4138745.3660000004</v>
      </c>
      <c r="F8" s="69"/>
      <c r="G8" s="42"/>
      <c r="H8" s="304"/>
      <c r="I8" s="70" t="s">
        <v>85</v>
      </c>
      <c r="J8" s="50" t="s">
        <v>86</v>
      </c>
      <c r="K8" s="50" t="s">
        <v>87</v>
      </c>
      <c r="L8" s="50" t="s">
        <v>79</v>
      </c>
      <c r="M8" s="50" t="s">
        <v>80</v>
      </c>
      <c r="N8" s="46" t="s">
        <v>90</v>
      </c>
    </row>
    <row r="9" spans="2:14">
      <c r="B9" s="151" t="s">
        <v>99</v>
      </c>
      <c r="C9" s="7" t="s">
        <v>100</v>
      </c>
      <c r="D9" s="74" t="s">
        <v>57</v>
      </c>
      <c r="E9" s="148">
        <f>E15*E11</f>
        <v>3940270.62</v>
      </c>
      <c r="F9" s="69"/>
      <c r="G9" s="42"/>
      <c r="H9" s="49"/>
      <c r="I9" s="55" t="s">
        <v>101</v>
      </c>
      <c r="J9" s="67" t="s">
        <v>92</v>
      </c>
      <c r="K9" s="55" t="s">
        <v>93</v>
      </c>
      <c r="L9" s="55" t="s">
        <v>94</v>
      </c>
      <c r="M9" s="68" cm="1">
        <f t="array" ref="M9">E12*EFelectricitySaudiArabia</f>
        <v>3.7345000000000002</v>
      </c>
      <c r="N9" s="68" cm="1">
        <f t="array" ref="N9">E8*EFelectricitySaudiArabia</f>
        <v>2276309.9513000003</v>
      </c>
    </row>
    <row r="10" spans="2:14">
      <c r="B10" s="5" t="s">
        <v>102</v>
      </c>
      <c r="C10" s="146" t="s">
        <v>100</v>
      </c>
      <c r="D10" s="74" t="s">
        <v>57</v>
      </c>
      <c r="E10" s="149">
        <f>E15*E12</f>
        <v>3685184.23</v>
      </c>
      <c r="F10" s="69"/>
      <c r="G10" s="42"/>
      <c r="H10" s="49"/>
      <c r="I10" s="71"/>
      <c r="J10" s="71"/>
      <c r="K10" s="71"/>
      <c r="L10" s="71"/>
      <c r="M10" s="72"/>
    </row>
    <row r="11" spans="2:14">
      <c r="B11" s="7" t="s">
        <v>103</v>
      </c>
      <c r="C11" s="156" t="s">
        <v>104</v>
      </c>
      <c r="D11" s="74" t="s">
        <v>105</v>
      </c>
      <c r="E11" s="204">
        <f>'Data Electricity&amp;Water'!C10</f>
        <v>7.26</v>
      </c>
      <c r="F11" s="69"/>
      <c r="G11" s="42"/>
      <c r="H11" s="49"/>
      <c r="I11" s="73" t="s">
        <v>106</v>
      </c>
      <c r="J11" s="71"/>
      <c r="K11" s="71"/>
      <c r="L11" s="71"/>
      <c r="M11" s="72"/>
    </row>
    <row r="12" spans="2:14" ht="31.5" customHeight="1">
      <c r="B12" s="146" t="s">
        <v>107</v>
      </c>
      <c r="C12" s="156" t="s">
        <v>104</v>
      </c>
      <c r="D12" s="152" t="s">
        <v>105</v>
      </c>
      <c r="E12" s="205">
        <f>'Data Electricity&amp;Water'!C17</f>
        <v>6.79</v>
      </c>
      <c r="F12" s="69"/>
      <c r="G12" s="42"/>
      <c r="H12" s="142" t="s">
        <v>108</v>
      </c>
      <c r="I12" s="70" t="s">
        <v>85</v>
      </c>
      <c r="J12" s="50" t="s">
        <v>86</v>
      </c>
      <c r="K12" s="50" t="s">
        <v>87</v>
      </c>
      <c r="L12" s="50" t="s">
        <v>79</v>
      </c>
      <c r="M12" s="50" t="s">
        <v>80</v>
      </c>
      <c r="N12" s="50" t="s">
        <v>90</v>
      </c>
    </row>
    <row r="13" spans="2:14">
      <c r="B13" s="74" t="s">
        <v>109</v>
      </c>
      <c r="C13" s="156" t="s">
        <v>110</v>
      </c>
      <c r="D13" s="152" t="s">
        <v>83</v>
      </c>
      <c r="E13" s="153">
        <f>E15*(365/$E$19)</f>
        <v>609535.4</v>
      </c>
      <c r="F13" s="69"/>
      <c r="G13" s="42"/>
      <c r="H13" s="142"/>
      <c r="I13" s="40" t="s">
        <v>111</v>
      </c>
      <c r="J13" s="40" t="s">
        <v>112</v>
      </c>
      <c r="K13" s="40" t="s">
        <v>113</v>
      </c>
      <c r="L13" s="40" t="s">
        <v>105</v>
      </c>
      <c r="M13" s="284">
        <f>N13/$E$13</f>
        <v>1.1939484501701559E-5</v>
      </c>
      <c r="N13" s="289">
        <f>E26*(365/$E$19)</f>
        <v>7.2775384615384606</v>
      </c>
    </row>
    <row r="14" spans="2:14">
      <c r="B14" s="74" t="s">
        <v>114</v>
      </c>
      <c r="C14" s="156" t="s">
        <v>110</v>
      </c>
      <c r="D14" s="152" t="s">
        <v>83</v>
      </c>
      <c r="E14" s="153">
        <f>E16*(365/$E$19)</f>
        <v>461637.4</v>
      </c>
      <c r="F14" s="69"/>
      <c r="G14" s="42"/>
      <c r="H14" s="142"/>
      <c r="I14" s="165" t="s">
        <v>115</v>
      </c>
      <c r="J14" s="165" t="s">
        <v>116</v>
      </c>
      <c r="K14" s="166" t="s">
        <v>117</v>
      </c>
      <c r="L14" s="165" t="s">
        <v>94</v>
      </c>
      <c r="M14" s="285">
        <f>N14/$E$13</f>
        <v>6.5667164759358586E-6</v>
      </c>
      <c r="N14" s="289">
        <f>'First Order Effects'!C25*(365/$E$19)</f>
        <v>4.002646153846154</v>
      </c>
    </row>
    <row r="15" spans="2:14">
      <c r="B15" s="74" t="s">
        <v>82</v>
      </c>
      <c r="C15" s="156" t="s">
        <v>118</v>
      </c>
      <c r="D15" s="74" t="s">
        <v>83</v>
      </c>
      <c r="E15" s="206">
        <f>E4</f>
        <v>542737</v>
      </c>
      <c r="F15" s="69"/>
      <c r="G15" s="42"/>
      <c r="H15" s="142"/>
      <c r="I15" s="165" t="s">
        <v>119</v>
      </c>
      <c r="J15" s="165" t="s">
        <v>120</v>
      </c>
      <c r="K15" s="165" t="s">
        <v>117</v>
      </c>
      <c r="L15" s="165" t="s">
        <v>94</v>
      </c>
      <c r="M15" s="285">
        <f>N15/$E$13</f>
        <v>5.754698263123532E-7</v>
      </c>
      <c r="N15" s="289">
        <f>E22*(365/$E$19)</f>
        <v>0.35076923076923078</v>
      </c>
    </row>
    <row r="16" spans="2:14">
      <c r="B16" s="74" t="s">
        <v>121</v>
      </c>
      <c r="C16" s="156" t="s">
        <v>118</v>
      </c>
      <c r="D16" s="74" t="s">
        <v>83</v>
      </c>
      <c r="E16" s="206">
        <f>'Data Electricity&amp;Water'!C11</f>
        <v>411047</v>
      </c>
      <c r="F16" s="69"/>
      <c r="G16" s="42"/>
      <c r="H16" s="142"/>
      <c r="I16" s="40" t="s">
        <v>122</v>
      </c>
      <c r="J16" s="40" t="s">
        <v>123</v>
      </c>
      <c r="K16" s="40" t="s">
        <v>117</v>
      </c>
      <c r="L16" s="165" t="s">
        <v>94</v>
      </c>
      <c r="M16" s="286">
        <f>N16/$E$13</f>
        <v>7.1421863022482116E-6</v>
      </c>
      <c r="N16" s="289">
        <f>N14+N15</f>
        <v>4.3534153846153849</v>
      </c>
    </row>
    <row r="17" spans="1:20">
      <c r="B17" s="154" t="s">
        <v>124</v>
      </c>
      <c r="C17" s="147"/>
      <c r="D17" s="155" t="s">
        <v>125</v>
      </c>
      <c r="E17" s="150">
        <f>Calculator!$C$35</f>
        <v>45292</v>
      </c>
      <c r="F17" s="69"/>
      <c r="G17" s="42"/>
      <c r="H17" s="304"/>
    </row>
    <row r="18" spans="1:20">
      <c r="B18" s="168" t="s">
        <v>126</v>
      </c>
      <c r="C18" s="169"/>
      <c r="D18" s="152" t="s">
        <v>125</v>
      </c>
      <c r="E18" s="170">
        <f>Calculator!$C$36</f>
        <v>45616</v>
      </c>
      <c r="H18" s="304"/>
      <c r="I18" s="73" t="s">
        <v>127</v>
      </c>
      <c r="J18" s="61"/>
      <c r="K18" s="42"/>
    </row>
    <row r="19" spans="1:20">
      <c r="B19" s="167" t="s">
        <v>128</v>
      </c>
      <c r="C19" s="167" t="s">
        <v>129</v>
      </c>
      <c r="D19" s="167" t="s">
        <v>130</v>
      </c>
      <c r="E19" s="207">
        <f>E18-E17+1</f>
        <v>325</v>
      </c>
      <c r="F19" s="66"/>
      <c r="G19" s="47"/>
      <c r="H19" s="304" t="s">
        <v>131</v>
      </c>
      <c r="I19" s="50" t="s">
        <v>85</v>
      </c>
      <c r="J19" s="50" t="s">
        <v>86</v>
      </c>
      <c r="K19" s="50" t="s">
        <v>87</v>
      </c>
      <c r="L19" s="50" t="s">
        <v>79</v>
      </c>
      <c r="M19" s="50" t="s">
        <v>80</v>
      </c>
      <c r="N19" s="46" t="s">
        <v>90</v>
      </c>
    </row>
    <row r="20" spans="1:20" ht="19.5" customHeight="1">
      <c r="D20" s="75"/>
      <c r="E20" s="76"/>
      <c r="H20" s="304"/>
      <c r="I20" s="98" t="s">
        <v>132</v>
      </c>
      <c r="J20" s="100" t="s">
        <v>133</v>
      </c>
      <c r="K20" s="100" t="s">
        <v>134</v>
      </c>
      <c r="L20" s="100" t="s">
        <v>94</v>
      </c>
      <c r="M20" s="208">
        <f>M6-M9</f>
        <v>0.25850000000000017</v>
      </c>
      <c r="N20" s="291">
        <f>N6-N9</f>
        <v>157564.90089999977</v>
      </c>
    </row>
    <row r="21" spans="1:20">
      <c r="B21" s="59" t="s">
        <v>135</v>
      </c>
      <c r="C21" s="59" t="s">
        <v>78</v>
      </c>
      <c r="D21" s="59" t="s">
        <v>79</v>
      </c>
      <c r="E21" s="59" t="s">
        <v>80</v>
      </c>
      <c r="F21" s="77"/>
      <c r="G21" s="76"/>
      <c r="H21" s="142"/>
      <c r="I21" s="110"/>
      <c r="J21" s="241"/>
      <c r="K21" s="241"/>
      <c r="L21" s="241"/>
      <c r="M21" s="242"/>
    </row>
    <row r="22" spans="1:20">
      <c r="B22" s="40" t="s">
        <v>136</v>
      </c>
      <c r="C22" s="65"/>
      <c r="D22" s="40" t="s">
        <v>137</v>
      </c>
      <c r="E22" s="238">
        <f>'First Order Effects'!B13</f>
        <v>0.31232876712328766</v>
      </c>
      <c r="F22" s="77"/>
      <c r="G22" s="76"/>
      <c r="H22" s="76"/>
      <c r="I22" s="73" t="s">
        <v>138</v>
      </c>
      <c r="J22" s="61"/>
      <c r="K22" s="42"/>
    </row>
    <row r="23" spans="1:20">
      <c r="B23" s="40" t="s">
        <v>139</v>
      </c>
      <c r="C23" s="65"/>
      <c r="D23" s="40" t="s">
        <v>137</v>
      </c>
      <c r="E23" s="238">
        <f>'First Order Effects'!C25</f>
        <v>3.5640000000000001</v>
      </c>
      <c r="H23" s="142" t="s">
        <v>140</v>
      </c>
      <c r="I23" s="50" t="s">
        <v>85</v>
      </c>
      <c r="J23" s="50" t="s">
        <v>86</v>
      </c>
      <c r="K23" s="50" t="s">
        <v>87</v>
      </c>
      <c r="L23" s="50" t="s">
        <v>79</v>
      </c>
      <c r="M23" s="50" t="s">
        <v>80</v>
      </c>
      <c r="N23" s="50" t="s">
        <v>90</v>
      </c>
    </row>
    <row r="24" spans="1:20" ht="20.25" customHeight="1">
      <c r="B24" s="40" t="s">
        <v>141</v>
      </c>
      <c r="C24" s="65"/>
      <c r="D24" s="40" t="s">
        <v>130</v>
      </c>
      <c r="E24" s="123">
        <f>E25/24</f>
        <v>3</v>
      </c>
      <c r="F24" s="77"/>
      <c r="G24" s="76"/>
      <c r="H24" s="142"/>
      <c r="I24" s="98" t="s">
        <v>142</v>
      </c>
      <c r="J24" s="99" t="s">
        <v>143</v>
      </c>
      <c r="K24" s="100" t="s">
        <v>134</v>
      </c>
      <c r="L24" s="100" t="s">
        <v>94</v>
      </c>
      <c r="M24" s="287">
        <f>M16-M20</f>
        <v>-0.25849285781369791</v>
      </c>
      <c r="N24" s="291">
        <f>N16-N20</f>
        <v>-157560.54748461515</v>
      </c>
      <c r="T24" s="24"/>
    </row>
    <row r="25" spans="1:20" ht="30.75" customHeight="1">
      <c r="B25" s="40" t="s">
        <v>144</v>
      </c>
      <c r="C25" s="65"/>
      <c r="D25" s="40" t="s">
        <v>145</v>
      </c>
      <c r="E25" s="123">
        <v>72</v>
      </c>
      <c r="F25" s="77"/>
      <c r="G25" s="76"/>
      <c r="H25" s="142"/>
      <c r="I25" s="232" t="s">
        <v>146</v>
      </c>
      <c r="J25" s="99" t="s">
        <v>147</v>
      </c>
      <c r="K25" s="100" t="s">
        <v>148</v>
      </c>
      <c r="L25" s="100" t="s">
        <v>149</v>
      </c>
      <c r="M25" s="288">
        <f>M24/1000</f>
        <v>-2.5849285781369793E-4</v>
      </c>
      <c r="N25" s="290">
        <f>N24/1000</f>
        <v>-157.56054748461514</v>
      </c>
    </row>
    <row r="26" spans="1:20">
      <c r="B26" s="40" t="s">
        <v>150</v>
      </c>
      <c r="C26" s="65"/>
      <c r="D26" s="40" t="s">
        <v>57</v>
      </c>
      <c r="E26" s="123">
        <f>'First Order Effects'!C24</f>
        <v>6.4799999999999995</v>
      </c>
      <c r="H26" s="76"/>
    </row>
    <row r="27" spans="1:20" s="24" customFormat="1">
      <c r="B27" s="81"/>
      <c r="C27" s="61"/>
      <c r="D27" s="61"/>
      <c r="E27" s="61"/>
      <c r="F27" s="78"/>
      <c r="G27" s="61"/>
      <c r="P27" s="42"/>
    </row>
    <row r="28" spans="1:20" ht="24.6">
      <c r="B28" s="62" t="s">
        <v>151</v>
      </c>
      <c r="C28" s="61"/>
      <c r="D28" s="61"/>
      <c r="E28" s="61"/>
      <c r="F28" s="78"/>
      <c r="G28" s="61"/>
      <c r="H28" s="47"/>
      <c r="N28" s="42"/>
      <c r="O28" s="42"/>
      <c r="P28" s="42"/>
      <c r="Q28" s="42"/>
      <c r="R28" s="42"/>
      <c r="S28" s="42"/>
      <c r="T28" s="42"/>
    </row>
    <row r="29" spans="1:20">
      <c r="B29" s="80" t="s">
        <v>152</v>
      </c>
      <c r="C29" s="61"/>
      <c r="D29" s="61"/>
      <c r="E29" s="61"/>
      <c r="F29" s="78"/>
      <c r="G29" s="61"/>
      <c r="N29" s="42"/>
      <c r="O29" s="42"/>
      <c r="Q29" s="42"/>
      <c r="R29" s="42"/>
      <c r="S29" s="42"/>
      <c r="T29" s="42"/>
    </row>
    <row r="30" spans="1:20" s="24" customFormat="1">
      <c r="A30" s="42"/>
      <c r="B30" s="59" t="s">
        <v>153</v>
      </c>
      <c r="C30" s="59" t="s">
        <v>154</v>
      </c>
      <c r="D30" s="59" t="s">
        <v>79</v>
      </c>
      <c r="E30" s="59" t="s">
        <v>80</v>
      </c>
      <c r="F30" s="78"/>
      <c r="G30" s="61"/>
      <c r="H30" s="304"/>
      <c r="T30" s="3"/>
    </row>
    <row r="31" spans="1:20" s="42" customFormat="1">
      <c r="B31" s="162" t="s">
        <v>155</v>
      </c>
      <c r="C31" s="293" t="s">
        <v>156</v>
      </c>
      <c r="D31" s="163" t="s">
        <v>157</v>
      </c>
      <c r="E31" s="209">
        <v>0.55000000000000004</v>
      </c>
      <c r="F31" s="78"/>
      <c r="G31" s="61"/>
      <c r="H31" s="304"/>
      <c r="I31" s="24"/>
      <c r="J31" s="24"/>
      <c r="K31" s="24"/>
      <c r="L31" s="24"/>
      <c r="M31" s="24"/>
      <c r="N31" s="24"/>
      <c r="O31" s="24"/>
      <c r="Q31" s="24"/>
      <c r="R31" s="24"/>
      <c r="S31" s="24"/>
      <c r="T31" s="24"/>
    </row>
    <row r="32" spans="1:20" s="42" customFormat="1" ht="30" customHeight="1">
      <c r="A32" s="24"/>
      <c r="B32" s="162" t="s">
        <v>158</v>
      </c>
      <c r="C32" s="161" t="s">
        <v>159</v>
      </c>
      <c r="D32" s="163" t="s">
        <v>160</v>
      </c>
      <c r="E32" s="267">
        <f>E22</f>
        <v>0.31232876712328766</v>
      </c>
      <c r="F32" s="78"/>
      <c r="G32" s="61"/>
      <c r="I32" s="24"/>
      <c r="J32" s="24"/>
      <c r="K32" s="24"/>
      <c r="L32" s="24"/>
      <c r="M32" s="24"/>
      <c r="P32" s="24"/>
    </row>
    <row r="33" spans="1:20" ht="30" customHeight="1">
      <c r="F33" s="78"/>
      <c r="G33" s="61"/>
    </row>
    <row r="34" spans="1:20" s="24" customFormat="1" ht="26.25" hidden="1" customHeight="1">
      <c r="A34" s="42"/>
      <c r="B34" s="268" t="s">
        <v>161</v>
      </c>
      <c r="C34" s="268"/>
      <c r="D34" s="268"/>
      <c r="E34" s="268"/>
      <c r="F34" s="269"/>
      <c r="G34" s="269"/>
      <c r="H34" s="305"/>
      <c r="I34" s="268" t="s">
        <v>161</v>
      </c>
      <c r="J34" s="268"/>
      <c r="K34" s="268"/>
      <c r="L34" s="268"/>
      <c r="M34" s="268"/>
      <c r="T34" s="3"/>
    </row>
    <row r="35" spans="1:20" s="42" customFormat="1" ht="29.25" hidden="1" customHeight="1">
      <c r="A35" s="24"/>
      <c r="B35" s="5" t="s">
        <v>132</v>
      </c>
      <c r="C35" s="5"/>
      <c r="D35" s="5" t="s">
        <v>94</v>
      </c>
      <c r="E35" s="270">
        <f>M20</f>
        <v>0.25850000000000017</v>
      </c>
      <c r="F35" s="271"/>
      <c r="G35" s="271"/>
      <c r="H35" s="306"/>
      <c r="I35" s="5" t="s">
        <v>132</v>
      </c>
      <c r="J35" s="5" t="s">
        <v>162</v>
      </c>
      <c r="K35" s="5" t="s">
        <v>163</v>
      </c>
      <c r="L35" s="5" t="s">
        <v>94</v>
      </c>
      <c r="M35" s="270">
        <f>E35</f>
        <v>0.25850000000000017</v>
      </c>
      <c r="N35" s="24"/>
      <c r="O35" s="24"/>
      <c r="P35" s="24"/>
      <c r="Q35" s="24"/>
      <c r="R35" s="24"/>
      <c r="S35" s="24"/>
      <c r="T35" s="3"/>
    </row>
    <row r="36" spans="1:20" hidden="1">
      <c r="B36" s="5" t="s">
        <v>164</v>
      </c>
      <c r="C36" s="5"/>
      <c r="D36" s="5" t="s">
        <v>94</v>
      </c>
      <c r="E36" s="270">
        <f>M16</f>
        <v>7.1421863022482116E-6</v>
      </c>
      <c r="F36" s="271"/>
      <c r="G36" s="271"/>
      <c r="H36" s="5"/>
      <c r="I36" s="5" t="s">
        <v>164</v>
      </c>
      <c r="J36" s="5" t="s">
        <v>165</v>
      </c>
      <c r="K36" s="5" t="s">
        <v>94</v>
      </c>
      <c r="L36" s="5" t="s">
        <v>94</v>
      </c>
      <c r="M36" s="270">
        <f>E36</f>
        <v>7.1421863022482116E-6</v>
      </c>
    </row>
    <row r="37" spans="1:20" hidden="1">
      <c r="B37" s="5" t="s">
        <v>142</v>
      </c>
      <c r="C37" s="5"/>
      <c r="D37" s="5" t="s">
        <v>94</v>
      </c>
      <c r="E37" s="270">
        <f>M24</f>
        <v>-0.25849285781369791</v>
      </c>
      <c r="F37" s="271"/>
      <c r="G37" s="271"/>
      <c r="H37" s="272"/>
      <c r="I37" s="5" t="s">
        <v>142</v>
      </c>
      <c r="J37" s="5" t="s">
        <v>166</v>
      </c>
      <c r="K37" s="5" t="s">
        <v>94</v>
      </c>
      <c r="L37" s="5" t="s">
        <v>94</v>
      </c>
      <c r="M37" s="270">
        <f>E37</f>
        <v>-0.25849285781369791</v>
      </c>
      <c r="T37" s="24"/>
    </row>
    <row r="38" spans="1:20" hidden="1">
      <c r="F38" s="78"/>
      <c r="G38" s="61"/>
      <c r="T38" s="24"/>
    </row>
    <row r="39" spans="1:20">
      <c r="F39" s="78"/>
      <c r="G39" s="61"/>
      <c r="T39" s="24"/>
    </row>
    <row r="40" spans="1:20" s="24" customFormat="1">
      <c r="F40" s="78"/>
      <c r="G40" s="61"/>
    </row>
    <row r="41" spans="1:20" s="24" customFormat="1">
      <c r="F41" s="78"/>
      <c r="G41" s="61"/>
      <c r="H41"/>
      <c r="I41"/>
      <c r="J41"/>
      <c r="K41"/>
      <c r="L41"/>
      <c r="M41"/>
    </row>
    <row r="42" spans="1:20" s="24" customFormat="1">
      <c r="F42" s="78"/>
      <c r="G42" s="61"/>
      <c r="H42"/>
      <c r="I42"/>
      <c r="J42"/>
      <c r="K42"/>
      <c r="L42"/>
      <c r="M42"/>
    </row>
    <row r="43" spans="1:20" s="24" customFormat="1">
      <c r="F43" s="78"/>
      <c r="G43" s="61"/>
      <c r="H43"/>
      <c r="I43"/>
      <c r="J43"/>
      <c r="K43"/>
      <c r="L43"/>
      <c r="M43"/>
    </row>
    <row r="44" spans="1:20" s="24" customFormat="1">
      <c r="F44" s="78"/>
      <c r="G44" s="61"/>
      <c r="H44"/>
      <c r="I44"/>
      <c r="J44"/>
      <c r="K44"/>
      <c r="L44"/>
      <c r="M44"/>
      <c r="T44" s="3"/>
    </row>
    <row r="45" spans="1:20" s="24" customFormat="1">
      <c r="F45" s="78"/>
      <c r="G45" s="61"/>
      <c r="H45" s="47"/>
      <c r="T45" s="3"/>
    </row>
    <row r="46" spans="1:20">
      <c r="F46" s="78"/>
      <c r="G46" s="61"/>
    </row>
    <row r="47" spans="1:20" s="24" customFormat="1">
      <c r="F47" s="78"/>
      <c r="G47" s="61"/>
      <c r="T47" s="3"/>
    </row>
    <row r="48" spans="1:20">
      <c r="F48" s="78"/>
      <c r="G48" s="61"/>
    </row>
    <row r="49" spans="6:7">
      <c r="F49" s="78"/>
      <c r="G49" s="61"/>
    </row>
    <row r="50" spans="6:7">
      <c r="F50" s="78"/>
      <c r="G50" s="61"/>
    </row>
    <row r="51" spans="6:7">
      <c r="F51" s="78"/>
      <c r="G51" s="61"/>
    </row>
  </sheetData>
  <mergeCells count="7">
    <mergeCell ref="H30:H31"/>
    <mergeCell ref="H34:H35"/>
    <mergeCell ref="H1:H2"/>
    <mergeCell ref="H7:H8"/>
    <mergeCell ref="H17:H18"/>
    <mergeCell ref="H5:H6"/>
    <mergeCell ref="H19:H20"/>
  </mergeCells>
  <hyperlinks>
    <hyperlink ref="B29" r:id="rId1" display="EGDC Case Study Calculators - Colt Smart Building.xlsx" xr:uid="{B5EC6427-F322-4B5B-8B00-C3DE40C2FC5E}"/>
    <hyperlink ref="C32" r:id="rId2" display="MacBook Air 15-inch with M2 chip Product Environmental Report" xr:uid="{DAB836E8-51B1-4BB1-A850-814FDB5A2B70}"/>
    <hyperlink ref="C31" r:id="rId3" xr:uid="{AAECA9AD-BA43-469C-A60C-91083821288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42E65-52D7-4E5F-B82F-BA278CC069F4}">
  <sheetPr>
    <tabColor rgb="FFA6D9F7"/>
  </sheetPr>
  <dimension ref="B2:T37"/>
  <sheetViews>
    <sheetView showGridLines="0" topLeftCell="B1" zoomScale="70" zoomScaleNormal="70" workbookViewId="0">
      <selection activeCell="E4" sqref="E4"/>
    </sheetView>
  </sheetViews>
  <sheetFormatPr defaultColWidth="8.75" defaultRowHeight="19.5"/>
  <cols>
    <col min="1" max="1" width="3.75" style="3" customWidth="1"/>
    <col min="2" max="2" width="36.875" style="3" customWidth="1"/>
    <col min="3" max="3" width="29.5" style="3" customWidth="1"/>
    <col min="4" max="4" width="38.25" style="3" bestFit="1" customWidth="1"/>
    <col min="5" max="9" width="15.875" style="3" customWidth="1"/>
    <col min="10" max="12" width="10.125" style="3" customWidth="1"/>
    <col min="13" max="15" width="10.125" style="4" customWidth="1"/>
    <col min="16" max="16" width="16.125" style="4" customWidth="1"/>
    <col min="17" max="18" width="16.25" style="3" customWidth="1"/>
    <col min="19" max="19" width="12.5" style="3" bestFit="1" customWidth="1"/>
    <col min="20" max="20" width="19.125" style="3" customWidth="1"/>
    <col min="21" max="21" width="10.75" style="3" customWidth="1"/>
    <col min="22" max="22" width="25.625" style="3" customWidth="1"/>
    <col min="23" max="16384" width="8.75" style="3"/>
  </cols>
  <sheetData>
    <row r="2" spans="2:20">
      <c r="B2" s="2" t="s">
        <v>167</v>
      </c>
    </row>
    <row r="3" spans="2:20" ht="38.25" customHeight="1" thickBot="1">
      <c r="B3" s="307" t="s">
        <v>168</v>
      </c>
      <c r="C3" s="307"/>
      <c r="D3" s="307"/>
      <c r="E3" s="307"/>
      <c r="F3" s="307"/>
      <c r="G3" s="307"/>
      <c r="H3" s="307"/>
      <c r="I3" s="307"/>
    </row>
    <row r="4" spans="2:20" ht="38.25" customHeight="1">
      <c r="B4" s="239"/>
      <c r="C4" s="120" t="s">
        <v>169</v>
      </c>
      <c r="D4" s="120" t="s">
        <v>170</v>
      </c>
      <c r="E4" s="121" t="s">
        <v>171</v>
      </c>
      <c r="F4" s="121" t="s">
        <v>172</v>
      </c>
      <c r="G4" s="122" t="s">
        <v>173</v>
      </c>
      <c r="H4" s="239"/>
      <c r="I4" s="239"/>
    </row>
    <row r="5" spans="2:20">
      <c r="B5" s="315" t="s">
        <v>174</v>
      </c>
      <c r="C5" s="5" t="s">
        <v>175</v>
      </c>
      <c r="D5" s="5" t="str">
        <f>D15</f>
        <v>Computer (AI training device)</v>
      </c>
      <c r="E5" s="223">
        <f t="shared" ref="E5:G6" si="0">P15*P18</f>
        <v>0.31232876712328766</v>
      </c>
      <c r="F5" s="223">
        <f t="shared" si="0"/>
        <v>0.79201191210124422</v>
      </c>
      <c r="G5" s="223">
        <f t="shared" si="0"/>
        <v>0.12316640353798489</v>
      </c>
      <c r="H5" s="239"/>
      <c r="I5" s="239"/>
    </row>
    <row r="6" spans="2:20">
      <c r="B6" s="316"/>
      <c r="C6" s="5" t="s">
        <v>175</v>
      </c>
      <c r="D6" s="5" t="str">
        <f>D16</f>
        <v>AI training electricity consumption</v>
      </c>
      <c r="E6" s="223">
        <f t="shared" si="0"/>
        <v>3.5640000000000001</v>
      </c>
      <c r="F6" s="223">
        <f t="shared" si="0"/>
        <v>4.7907783732279938</v>
      </c>
      <c r="G6" s="223">
        <f t="shared" si="0"/>
        <v>2.651363726400354</v>
      </c>
      <c r="H6" s="239"/>
      <c r="I6" s="239"/>
    </row>
    <row r="7" spans="2:20">
      <c r="B7" s="316"/>
      <c r="C7" s="5" t="s">
        <v>175</v>
      </c>
      <c r="D7" s="5" t="s">
        <v>176</v>
      </c>
      <c r="E7" s="223">
        <v>0</v>
      </c>
      <c r="F7" s="223">
        <v>0</v>
      </c>
      <c r="G7" s="223">
        <v>0</v>
      </c>
      <c r="H7" s="239"/>
      <c r="I7" s="239"/>
    </row>
    <row r="8" spans="2:20">
      <c r="B8" s="317"/>
      <c r="C8" s="5" t="s">
        <v>175</v>
      </c>
      <c r="D8" s="5" t="s">
        <v>176</v>
      </c>
      <c r="E8" s="223">
        <v>0</v>
      </c>
      <c r="F8" s="223">
        <v>0</v>
      </c>
      <c r="G8" s="223">
        <v>0</v>
      </c>
      <c r="H8" s="239"/>
      <c r="I8" s="239"/>
    </row>
    <row r="9" spans="2:20">
      <c r="C9" s="5" t="s">
        <v>177</v>
      </c>
      <c r="D9" s="5" t="str">
        <f>D17</f>
        <v xml:space="preserve"> electricity reduction (annual)</v>
      </c>
      <c r="E9" s="223">
        <f>P17*P20</f>
        <v>157564.90089999966</v>
      </c>
      <c r="F9" s="223">
        <f>Q17*Q20</f>
        <v>175372.08153615595</v>
      </c>
      <c r="G9" s="223">
        <f>R17*R20</f>
        <v>141565.85117858832</v>
      </c>
      <c r="H9" s="239"/>
      <c r="I9" s="239"/>
    </row>
    <row r="10" spans="2:20">
      <c r="C10" s="318" t="s">
        <v>76</v>
      </c>
      <c r="D10" s="319"/>
      <c r="E10" s="224">
        <f>-((E9-SUM(E5:E8))/1000)</f>
        <v>-157.56102457123254</v>
      </c>
      <c r="F10" s="224">
        <f>-((F9-SUM(F5:F8))/1000)</f>
        <v>-175.36649874587064</v>
      </c>
      <c r="G10" s="224">
        <f>-((G9-SUM(G5:G8))/1000)</f>
        <v>-141.56307664845838</v>
      </c>
      <c r="H10" s="239"/>
      <c r="I10" s="239"/>
    </row>
    <row r="11" spans="2:20">
      <c r="C11" s="308" t="s">
        <v>178</v>
      </c>
      <c r="D11" s="308"/>
      <c r="E11" s="225">
        <f>0</f>
        <v>0</v>
      </c>
      <c r="F11" s="225">
        <f>ABS(F10-E10)</f>
        <v>17.805474174638107</v>
      </c>
      <c r="G11" s="224">
        <f>ABS(E10-G10)</f>
        <v>15.997947922774159</v>
      </c>
      <c r="H11" s="239"/>
      <c r="I11" s="239"/>
    </row>
    <row r="12" spans="2:20" ht="20.100000000000001" thickBot="1">
      <c r="B12" s="2"/>
      <c r="K12" s="2"/>
      <c r="M12" s="3"/>
      <c r="N12" s="3"/>
      <c r="O12" s="3"/>
      <c r="P12" s="3"/>
      <c r="T12" s="2"/>
    </row>
    <row r="13" spans="2:20" ht="19.149999999999999" customHeight="1" thickBot="1">
      <c r="B13" s="245"/>
      <c r="C13" s="245"/>
      <c r="D13" s="245"/>
      <c r="E13" s="251" t="s">
        <v>179</v>
      </c>
      <c r="F13" s="252"/>
      <c r="G13" s="252"/>
      <c r="H13" s="252"/>
      <c r="I13" s="252"/>
      <c r="J13" s="253" t="s">
        <v>180</v>
      </c>
      <c r="K13" s="253"/>
      <c r="L13" s="253"/>
      <c r="M13" s="253"/>
      <c r="N13" s="253"/>
      <c r="O13" s="254"/>
      <c r="P13" s="309" t="s">
        <v>181</v>
      </c>
      <c r="Q13" s="310"/>
      <c r="R13" s="311"/>
    </row>
    <row r="14" spans="2:20" ht="66" customHeight="1" thickBot="1">
      <c r="B14" s="119" t="s">
        <v>182</v>
      </c>
      <c r="C14" s="120" t="s">
        <v>169</v>
      </c>
      <c r="D14" s="120" t="s">
        <v>170</v>
      </c>
      <c r="E14" s="255" t="s">
        <v>183</v>
      </c>
      <c r="F14" s="256" t="s">
        <v>184</v>
      </c>
      <c r="G14" s="257" t="s">
        <v>185</v>
      </c>
      <c r="H14" s="256" t="s">
        <v>186</v>
      </c>
      <c r="I14" s="256" t="s">
        <v>187</v>
      </c>
      <c r="J14" s="258" t="s">
        <v>183</v>
      </c>
      <c r="K14" s="259" t="s">
        <v>184</v>
      </c>
      <c r="L14" s="258" t="s">
        <v>185</v>
      </c>
      <c r="M14" s="259" t="s">
        <v>186</v>
      </c>
      <c r="N14" s="259" t="s">
        <v>187</v>
      </c>
      <c r="O14" s="258" t="s">
        <v>188</v>
      </c>
      <c r="P14" s="259" t="s">
        <v>171</v>
      </c>
      <c r="Q14" s="259" t="s">
        <v>172</v>
      </c>
      <c r="R14" s="260" t="s">
        <v>173</v>
      </c>
    </row>
    <row r="15" spans="2:20" ht="18.600000000000001" customHeight="1">
      <c r="B15" s="312" t="s">
        <v>189</v>
      </c>
      <c r="C15" s="87" t="s">
        <v>175</v>
      </c>
      <c r="D15" s="88" t="s">
        <v>190</v>
      </c>
      <c r="E15" s="246" t="s">
        <v>191</v>
      </c>
      <c r="F15" s="247" t="s">
        <v>191</v>
      </c>
      <c r="G15" s="247" t="s">
        <v>191</v>
      </c>
      <c r="H15" s="247" t="s">
        <v>191</v>
      </c>
      <c r="I15" s="247" t="s">
        <v>191</v>
      </c>
      <c r="J15" s="248">
        <f>INDEX($C$36:$F$36,MATCH(E15,$C$31:$F$31,0))</f>
        <v>1.5</v>
      </c>
      <c r="K15" s="248">
        <f t="shared" ref="K15:K20" si="1">INDEX($C$34:$F$34,MATCH(F15,$C$31:$F$31,0))</f>
        <v>1.2</v>
      </c>
      <c r="L15" s="248">
        <f t="shared" ref="L15:L20" si="2">INDEX($C$35:$F$35,MATCH(G15,$C$31:$F$31,0))</f>
        <v>1.05</v>
      </c>
      <c r="M15" s="248">
        <f t="shared" ref="M15:M20" si="3">INDEX($C$32:$F$32,MATCH(H15,$C$31:$F$31,0))</f>
        <v>1.2</v>
      </c>
      <c r="N15" s="248">
        <f t="shared" ref="N15:N20" si="4">INDEX($C$33:$F$33,MATCH(I15,$C$31:$F$31,0))</f>
        <v>1.1000000000000001</v>
      </c>
      <c r="O15" s="249">
        <f>EXP(SQRT((LN(J15)^2)+(LN(K15)^2)+(LN(L15)^2)+(LN(M15)^2)+(LN(N15)^2)))</f>
        <v>1.6360573781545753</v>
      </c>
      <c r="P15" s="250">
        <f>1</f>
        <v>1</v>
      </c>
      <c r="Q15" s="250">
        <f>P15*O15</f>
        <v>1.6360573781545753</v>
      </c>
      <c r="R15" s="250">
        <f>P15/O15</f>
        <v>0.61122550672884757</v>
      </c>
    </row>
    <row r="16" spans="2:20">
      <c r="B16" s="313"/>
      <c r="C16" s="6" t="s">
        <v>175</v>
      </c>
      <c r="D16" s="82" t="s">
        <v>192</v>
      </c>
      <c r="E16" s="104" t="s">
        <v>193</v>
      </c>
      <c r="F16" s="103" t="s">
        <v>194</v>
      </c>
      <c r="G16" s="103" t="s">
        <v>194</v>
      </c>
      <c r="H16" s="103" t="s">
        <v>194</v>
      </c>
      <c r="I16" s="117" t="s">
        <v>193</v>
      </c>
      <c r="J16" s="212">
        <f t="shared" ref="J16" si="5">INDEX($C$36:$F$36,MATCH(E16,$C$31:$F$31,0))</f>
        <v>1.2</v>
      </c>
      <c r="K16" s="212">
        <f t="shared" si="1"/>
        <v>1</v>
      </c>
      <c r="L16" s="212">
        <f t="shared" si="2"/>
        <v>1</v>
      </c>
      <c r="M16" s="213">
        <f t="shared" si="3"/>
        <v>1</v>
      </c>
      <c r="N16" s="213">
        <f t="shared" si="4"/>
        <v>1.05</v>
      </c>
      <c r="O16" s="131">
        <f t="shared" ref="O16:O20" si="6">EXP(SQRT((LN(J16)^2)+(LN(K16)^2)+(LN(L16)^2)+(LN(M16)^2)+(LN(N16)^2)))</f>
        <v>1.207723199572867</v>
      </c>
      <c r="P16" s="132">
        <f>Backend!$E$26</f>
        <v>6.4799999999999995</v>
      </c>
      <c r="Q16" s="132">
        <f t="shared" ref="Q16:Q20" si="7">P16*O16</f>
        <v>7.8260463332321777</v>
      </c>
      <c r="R16" s="132">
        <f t="shared" ref="R16:R20" si="8">P16/O16</f>
        <v>5.3654678508219167</v>
      </c>
    </row>
    <row r="17" spans="2:18" ht="20.100000000000001" thickBot="1">
      <c r="B17" s="313"/>
      <c r="C17" s="112" t="s">
        <v>177</v>
      </c>
      <c r="D17" s="115" t="s">
        <v>195</v>
      </c>
      <c r="E17" s="116" t="s">
        <v>194</v>
      </c>
      <c r="F17" s="116" t="s">
        <v>194</v>
      </c>
      <c r="G17" s="116" t="s">
        <v>194</v>
      </c>
      <c r="H17" s="116" t="s">
        <v>194</v>
      </c>
      <c r="I17" s="116" t="s">
        <v>194</v>
      </c>
      <c r="J17" s="214">
        <f>INDEX($C$36:$F$36,MATCH(E17,$C$31:$F$31,0))</f>
        <v>1</v>
      </c>
      <c r="K17" s="214">
        <f t="shared" si="1"/>
        <v>1</v>
      </c>
      <c r="L17" s="214">
        <f t="shared" si="2"/>
        <v>1</v>
      </c>
      <c r="M17" s="215">
        <f t="shared" si="3"/>
        <v>1</v>
      </c>
      <c r="N17" s="215">
        <f t="shared" si="4"/>
        <v>1</v>
      </c>
      <c r="O17" s="133">
        <f t="shared" si="6"/>
        <v>1</v>
      </c>
      <c r="P17" s="134">
        <f>Backend!$E$7-Backend!$E$8</f>
        <v>286481.63799999934</v>
      </c>
      <c r="Q17" s="134">
        <f t="shared" si="7"/>
        <v>286481.63799999934</v>
      </c>
      <c r="R17" s="134">
        <f t="shared" si="8"/>
        <v>286481.63799999934</v>
      </c>
    </row>
    <row r="18" spans="2:18">
      <c r="B18" s="312" t="s">
        <v>196</v>
      </c>
      <c r="C18" s="87" t="s">
        <v>175</v>
      </c>
      <c r="D18" s="88" t="s">
        <v>197</v>
      </c>
      <c r="E18" s="118" t="s">
        <v>191</v>
      </c>
      <c r="F18" s="102" t="s">
        <v>193</v>
      </c>
      <c r="G18" s="102" t="s">
        <v>193</v>
      </c>
      <c r="H18" s="102" t="s">
        <v>193</v>
      </c>
      <c r="I18" s="118" t="s">
        <v>191</v>
      </c>
      <c r="J18" s="211">
        <f>INDEX($C$36:$F$36,MATCH(E18,$C$31:$F$31,0))</f>
        <v>1.5</v>
      </c>
      <c r="K18" s="211">
        <f t="shared" si="1"/>
        <v>1.1000000000000001</v>
      </c>
      <c r="L18" s="211">
        <f t="shared" si="2"/>
        <v>1.02</v>
      </c>
      <c r="M18" s="216">
        <f t="shared" si="3"/>
        <v>1.1000000000000001</v>
      </c>
      <c r="N18" s="216">
        <f t="shared" si="4"/>
        <v>1.1000000000000001</v>
      </c>
      <c r="O18" s="135">
        <f t="shared" si="6"/>
        <v>1.54996251792034</v>
      </c>
      <c r="P18" s="136">
        <f>Backend!$E$32</f>
        <v>0.31232876712328766</v>
      </c>
      <c r="Q18" s="136">
        <f t="shared" si="7"/>
        <v>0.48409788230936646</v>
      </c>
      <c r="R18" s="219">
        <f>P18/O18</f>
        <v>0.20150730324908395</v>
      </c>
    </row>
    <row r="19" spans="2:18">
      <c r="B19" s="313"/>
      <c r="C19" s="6" t="s">
        <v>175</v>
      </c>
      <c r="D19" s="82" t="s">
        <v>198</v>
      </c>
      <c r="E19" s="103" t="s">
        <v>194</v>
      </c>
      <c r="F19" s="103" t="s">
        <v>194</v>
      </c>
      <c r="G19" s="103" t="s">
        <v>194</v>
      </c>
      <c r="H19" s="104" t="s">
        <v>193</v>
      </c>
      <c r="I19" s="104" t="s">
        <v>193</v>
      </c>
      <c r="J19" s="212">
        <f>INDEX($C$36:$F$36,MATCH(E19,$C$31:$F$31,0))</f>
        <v>1</v>
      </c>
      <c r="K19" s="212">
        <f t="shared" si="1"/>
        <v>1</v>
      </c>
      <c r="L19" s="212">
        <f t="shared" si="2"/>
        <v>1</v>
      </c>
      <c r="M19" s="213">
        <f t="shared" si="3"/>
        <v>1.1000000000000001</v>
      </c>
      <c r="N19" s="213">
        <f t="shared" si="4"/>
        <v>1.05</v>
      </c>
      <c r="O19" s="131">
        <f t="shared" si="6"/>
        <v>1.1130148943987077</v>
      </c>
      <c r="P19" s="132">
        <f>Backend!$E$31</f>
        <v>0.55000000000000004</v>
      </c>
      <c r="Q19" s="132">
        <f t="shared" si="7"/>
        <v>0.61215819191928933</v>
      </c>
      <c r="R19" s="220">
        <f t="shared" si="8"/>
        <v>0.49415331525920919</v>
      </c>
    </row>
    <row r="20" spans="2:18" ht="20.100000000000001" thickBot="1">
      <c r="B20" s="314"/>
      <c r="C20" s="89" t="s">
        <v>177</v>
      </c>
      <c r="D20" s="90" t="s">
        <v>199</v>
      </c>
      <c r="E20" s="105" t="s">
        <v>194</v>
      </c>
      <c r="F20" s="105" t="s">
        <v>194</v>
      </c>
      <c r="G20" s="105" t="s">
        <v>194</v>
      </c>
      <c r="H20" s="106" t="s">
        <v>193</v>
      </c>
      <c r="I20" s="106" t="s">
        <v>193</v>
      </c>
      <c r="J20" s="217">
        <f>INDEX($C$36:$F$36,MATCH(E20,$C$31:$F$31,0))</f>
        <v>1</v>
      </c>
      <c r="K20" s="217">
        <f t="shared" si="1"/>
        <v>1</v>
      </c>
      <c r="L20" s="217">
        <f t="shared" si="2"/>
        <v>1</v>
      </c>
      <c r="M20" s="218">
        <f t="shared" si="3"/>
        <v>1.1000000000000001</v>
      </c>
      <c r="N20" s="218">
        <f t="shared" si="4"/>
        <v>1.05</v>
      </c>
      <c r="O20" s="137">
        <f t="shared" si="6"/>
        <v>1.1130148943987077</v>
      </c>
      <c r="P20" s="138">
        <f>Backend!$E$31</f>
        <v>0.55000000000000004</v>
      </c>
      <c r="Q20" s="221">
        <f t="shared" si="7"/>
        <v>0.61215819191928933</v>
      </c>
      <c r="R20" s="222">
        <f t="shared" si="8"/>
        <v>0.49415331525920919</v>
      </c>
    </row>
    <row r="21" spans="2:18">
      <c r="C21" s="14"/>
      <c r="E21" s="8"/>
      <c r="L21" s="83"/>
      <c r="M21" s="83"/>
      <c r="N21" s="84"/>
      <c r="O21" s="85"/>
      <c r="P21" s="86"/>
      <c r="Q21" s="86"/>
    </row>
    <row r="22" spans="2:18">
      <c r="B22" s="2" t="s">
        <v>200</v>
      </c>
      <c r="L22" s="83"/>
      <c r="M22" s="83"/>
      <c r="N22" s="84"/>
      <c r="O22" s="85"/>
      <c r="P22" s="86"/>
      <c r="Q22" s="86"/>
    </row>
    <row r="23" spans="2:18">
      <c r="B23" s="9" t="s">
        <v>201</v>
      </c>
      <c r="C23" s="10" t="s">
        <v>202</v>
      </c>
      <c r="D23" s="10" t="s">
        <v>203</v>
      </c>
      <c r="E23" s="10" t="s">
        <v>191</v>
      </c>
      <c r="F23" s="10" t="s">
        <v>204</v>
      </c>
      <c r="M23" s="3"/>
      <c r="N23" s="3"/>
      <c r="O23" s="3"/>
      <c r="P23" s="3"/>
    </row>
    <row r="24" spans="2:18" ht="104.1" customHeight="1">
      <c r="B24" s="141" t="s">
        <v>205</v>
      </c>
      <c r="C24" s="12" t="s">
        <v>206</v>
      </c>
      <c r="D24" s="12" t="s">
        <v>207</v>
      </c>
      <c r="E24" s="12" t="s">
        <v>208</v>
      </c>
      <c r="F24" s="12" t="s">
        <v>209</v>
      </c>
      <c r="M24" s="3"/>
      <c r="N24" s="3"/>
      <c r="O24" s="3"/>
      <c r="P24" s="3"/>
    </row>
    <row r="25" spans="2:18" ht="101.45" customHeight="1">
      <c r="B25" s="11" t="s">
        <v>210</v>
      </c>
      <c r="C25" s="12" t="s">
        <v>211</v>
      </c>
      <c r="D25" s="12" t="s">
        <v>212</v>
      </c>
      <c r="E25" s="12" t="s">
        <v>213</v>
      </c>
      <c r="F25" s="12" t="s">
        <v>214</v>
      </c>
      <c r="M25" s="3"/>
      <c r="N25" s="3"/>
      <c r="O25" s="3"/>
      <c r="P25" s="3"/>
    </row>
    <row r="26" spans="2:18" ht="175.5">
      <c r="B26" s="11" t="s">
        <v>215</v>
      </c>
      <c r="C26" s="12" t="s">
        <v>216</v>
      </c>
      <c r="D26" s="12" t="s">
        <v>217</v>
      </c>
      <c r="E26" s="12" t="s">
        <v>218</v>
      </c>
      <c r="F26" s="12" t="s">
        <v>219</v>
      </c>
      <c r="M26" s="3"/>
      <c r="N26" s="3"/>
      <c r="O26" s="3"/>
      <c r="P26" s="3"/>
    </row>
    <row r="27" spans="2:18" ht="136.5">
      <c r="B27" s="11" t="s">
        <v>220</v>
      </c>
      <c r="C27" s="12" t="s">
        <v>221</v>
      </c>
      <c r="D27" s="12" t="s">
        <v>222</v>
      </c>
      <c r="E27" s="13" t="s">
        <v>223</v>
      </c>
      <c r="F27" s="12" t="s">
        <v>224</v>
      </c>
      <c r="M27" s="3"/>
      <c r="N27" s="3"/>
      <c r="O27" s="3"/>
      <c r="P27" s="3"/>
    </row>
    <row r="28" spans="2:18" ht="92.25" customHeight="1">
      <c r="B28" s="11" t="s">
        <v>225</v>
      </c>
      <c r="C28" s="12" t="s">
        <v>226</v>
      </c>
      <c r="D28" s="12" t="s">
        <v>227</v>
      </c>
      <c r="E28" s="12" t="s">
        <v>228</v>
      </c>
      <c r="F28" s="12" t="s">
        <v>229</v>
      </c>
      <c r="M28" s="3"/>
      <c r="N28" s="3"/>
      <c r="O28" s="3"/>
      <c r="P28" s="3"/>
    </row>
    <row r="29" spans="2:18">
      <c r="B29" s="24" t="s">
        <v>230</v>
      </c>
      <c r="C29" s="4"/>
      <c r="D29" s="4"/>
      <c r="E29" s="4"/>
      <c r="F29" s="4"/>
      <c r="M29" s="3"/>
      <c r="N29" s="3"/>
      <c r="O29" s="3"/>
      <c r="P29" s="3"/>
    </row>
    <row r="30" spans="2:18">
      <c r="C30" s="4"/>
      <c r="D30" s="4"/>
      <c r="E30" s="4"/>
      <c r="F30" s="4"/>
      <c r="O30" s="14" t="s">
        <v>231</v>
      </c>
    </row>
    <row r="31" spans="2:18">
      <c r="B31" s="9" t="s">
        <v>201</v>
      </c>
      <c r="C31" s="15" t="s">
        <v>194</v>
      </c>
      <c r="D31" s="10" t="s">
        <v>193</v>
      </c>
      <c r="E31" s="15" t="s">
        <v>191</v>
      </c>
      <c r="F31" s="10" t="s">
        <v>204</v>
      </c>
    </row>
    <row r="32" spans="2:18">
      <c r="B32" s="16" t="s">
        <v>232</v>
      </c>
      <c r="C32" s="17">
        <v>1</v>
      </c>
      <c r="D32" s="17">
        <v>1.1000000000000001</v>
      </c>
      <c r="E32" s="17">
        <v>1.2</v>
      </c>
      <c r="F32" s="17">
        <v>1.5</v>
      </c>
    </row>
    <row r="33" spans="2:6">
      <c r="B33" s="16" t="s">
        <v>187</v>
      </c>
      <c r="C33" s="17">
        <v>1</v>
      </c>
      <c r="D33" s="17">
        <v>1.05</v>
      </c>
      <c r="E33" s="17">
        <v>1.1000000000000001</v>
      </c>
      <c r="F33" s="17">
        <v>1.2</v>
      </c>
    </row>
    <row r="34" spans="2:6">
      <c r="B34" s="16" t="s">
        <v>233</v>
      </c>
      <c r="C34" s="17">
        <v>1</v>
      </c>
      <c r="D34" s="17">
        <v>1.1000000000000001</v>
      </c>
      <c r="E34" s="17">
        <v>1.2</v>
      </c>
      <c r="F34" s="17">
        <v>1.5</v>
      </c>
    </row>
    <row r="35" spans="2:6">
      <c r="B35" s="16" t="s">
        <v>234</v>
      </c>
      <c r="C35" s="17">
        <v>1</v>
      </c>
      <c r="D35" s="17">
        <v>1.02</v>
      </c>
      <c r="E35" s="17">
        <v>1.05</v>
      </c>
      <c r="F35" s="17">
        <v>1.1000000000000001</v>
      </c>
    </row>
    <row r="36" spans="2:6">
      <c r="B36" s="16" t="s">
        <v>235</v>
      </c>
      <c r="C36" s="17">
        <v>1</v>
      </c>
      <c r="D36" s="17">
        <v>1.2</v>
      </c>
      <c r="E36" s="17">
        <v>1.5</v>
      </c>
      <c r="F36" s="17">
        <v>2</v>
      </c>
    </row>
    <row r="37" spans="2:6">
      <c r="B37" s="3" t="s">
        <v>236</v>
      </c>
    </row>
  </sheetData>
  <mergeCells count="7">
    <mergeCell ref="B3:I3"/>
    <mergeCell ref="C11:D11"/>
    <mergeCell ref="P13:R13"/>
    <mergeCell ref="B15:B17"/>
    <mergeCell ref="B18:B20"/>
    <mergeCell ref="B5:B8"/>
    <mergeCell ref="C10:D10"/>
  </mergeCells>
  <conditionalFormatting sqref="B24:B29">
    <cfRule type="containsText" dxfId="15" priority="25" operator="containsText" text="Poor">
      <formula>NOT(ISERROR(SEARCH("Poor",B24)))</formula>
    </cfRule>
    <cfRule type="containsText" dxfId="14" priority="26" operator="containsText" text="Fair">
      <formula>NOT(ISERROR(SEARCH("Fair",B24)))</formula>
    </cfRule>
    <cfRule type="containsText" dxfId="13" priority="27" operator="containsText" text="Good ">
      <formula>NOT(ISERROR(SEARCH("Good ",B24)))</formula>
    </cfRule>
    <cfRule type="containsText" dxfId="12" priority="28" operator="containsText" text="Very Good">
      <formula>NOT(ISERROR(SEARCH("Very Good",B24)))</formula>
    </cfRule>
  </conditionalFormatting>
  <conditionalFormatting sqref="B32:B36">
    <cfRule type="containsText" dxfId="11" priority="5" operator="containsText" text="Poor">
      <formula>NOT(ISERROR(SEARCH("Poor",B32)))</formula>
    </cfRule>
    <cfRule type="containsText" dxfId="10" priority="6" operator="containsText" text="Fair">
      <formula>NOT(ISERROR(SEARCH("Fair",B32)))</formula>
    </cfRule>
    <cfRule type="containsText" dxfId="9" priority="7" operator="containsText" text="Good ">
      <formula>NOT(ISERROR(SEARCH("Good ",B32)))</formula>
    </cfRule>
    <cfRule type="containsText" dxfId="8" priority="8" operator="containsText" text="Very Good">
      <formula>NOT(ISERROR(SEARCH("Very Good",B32)))</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DBCD9-403F-4B7F-A72F-4CF3D12C5F6A}">
  <sheetPr>
    <tabColor rgb="FFA6D9F7"/>
  </sheetPr>
  <dimension ref="B2:P16"/>
  <sheetViews>
    <sheetView topLeftCell="F1" workbookViewId="0"/>
  </sheetViews>
  <sheetFormatPr defaultColWidth="8.75" defaultRowHeight="19.5"/>
  <cols>
    <col min="1" max="1" width="5.125" style="3" customWidth="1"/>
    <col min="2" max="2" width="114.125" style="3" bestFit="1" customWidth="1"/>
    <col min="3" max="3" width="28.375" style="3" customWidth="1"/>
    <col min="4" max="4" width="38.25" style="3" bestFit="1" customWidth="1"/>
    <col min="5" max="5" width="10.625" style="3" bestFit="1" customWidth="1"/>
    <col min="6" max="6" width="15.125" style="3" bestFit="1" customWidth="1"/>
    <col min="7" max="7" width="15.875" style="3" customWidth="1"/>
    <col min="8" max="8" width="19.25" style="3" customWidth="1"/>
    <col min="9" max="9" width="12.25" style="3" customWidth="1"/>
    <col min="10" max="10" width="14.125" style="3" customWidth="1"/>
    <col min="11" max="11" width="22.5" style="3" customWidth="1"/>
    <col min="12" max="12" width="17.125" style="3" customWidth="1"/>
    <col min="13" max="13" width="24.625" style="3" customWidth="1"/>
    <col min="14" max="14" width="24.875" style="3" customWidth="1"/>
    <col min="15" max="15" width="61.75" style="3" bestFit="1" customWidth="1"/>
    <col min="16" max="16384" width="8.75" style="3"/>
  </cols>
  <sheetData>
    <row r="2" spans="2:16">
      <c r="B2" s="2" t="s">
        <v>237</v>
      </c>
    </row>
    <row r="3" spans="2:16">
      <c r="B3" s="3" t="s">
        <v>238</v>
      </c>
    </row>
    <row r="5" spans="2:16" ht="78">
      <c r="B5" s="25" t="s">
        <v>182</v>
      </c>
      <c r="C5" s="25" t="str">
        <f>'Uncertainty Analysis'!C14</f>
        <v>Impact effect</v>
      </c>
      <c r="D5" s="25" t="str">
        <f>'Uncertainty Analysis'!D14</f>
        <v>Description of effect</v>
      </c>
      <c r="E5" s="25" t="str">
        <f>'Uncertainty Analysis'!P14</f>
        <v>Input data</v>
      </c>
      <c r="F5" s="25" t="s">
        <v>79</v>
      </c>
      <c r="G5" s="25" t="s">
        <v>239</v>
      </c>
      <c r="H5" s="25" t="s">
        <v>240</v>
      </c>
      <c r="I5" s="26" t="str">
        <f>'Uncertainty Analysis'!Q14</f>
        <v>Input data with SD (higher range)</v>
      </c>
      <c r="J5" s="26" t="str">
        <f>'Uncertainty Analysis'!R14</f>
        <v>Input data with SD (lower range)</v>
      </c>
      <c r="K5" s="25" t="s">
        <v>241</v>
      </c>
      <c r="L5" s="25" t="s">
        <v>242</v>
      </c>
      <c r="M5" s="25" t="s">
        <v>243</v>
      </c>
      <c r="N5" s="25" t="s">
        <v>244</v>
      </c>
      <c r="O5" s="25" t="s">
        <v>245</v>
      </c>
    </row>
    <row r="6" spans="2:16">
      <c r="B6" s="18" t="s">
        <v>246</v>
      </c>
      <c r="C6" s="18" t="str">
        <f>'Uncertainty Analysis'!C15</f>
        <v xml:space="preserve">1st order </v>
      </c>
      <c r="D6" s="18" t="str">
        <f>'Uncertainty Analysis'!D15</f>
        <v>Computer (AI training device)</v>
      </c>
      <c r="E6" s="226">
        <f>'Uncertainty Analysis'!P15</f>
        <v>1</v>
      </c>
      <c r="F6" s="27" t="s">
        <v>247</v>
      </c>
      <c r="G6" s="130">
        <v>-0.05</v>
      </c>
      <c r="H6" s="130">
        <v>0.05</v>
      </c>
      <c r="I6" s="227">
        <f t="shared" ref="I6:I11" si="0">E6*(1+H6)</f>
        <v>1.05</v>
      </c>
      <c r="J6" s="228">
        <f t="shared" ref="J6:J11" si="1">E6*(1+G6)</f>
        <v>0.95</v>
      </c>
      <c r="K6" s="195">
        <f>-((($E$8*$E$11)-((I6*$E$9)+($E$7*$E$10))))</f>
        <v>-157561.00895479418</v>
      </c>
      <c r="L6" s="195">
        <f>-((($E$8*$E$11)-((J6*$E$9)+($E$7*$E$10))))</f>
        <v>-157561.04018767088</v>
      </c>
      <c r="M6" s="129">
        <f t="shared" ref="M6:N11" si="2">K6/AnnualNetAvoidedEmissions-1</f>
        <v>2.9288434597596336E-6</v>
      </c>
      <c r="N6" s="129">
        <f t="shared" si="2"/>
        <v>3.127071234398926E-6</v>
      </c>
      <c r="O6" s="28" t="str">
        <f t="shared" ref="O6:O11" si="3">D6&amp;" "&amp;B6&amp;" +"&amp;TEXT(H6,"0%")&amp;"/"&amp;TEXT(G6,"0%")</f>
        <v>Computer (AI training device) activity data +5%/-5%</v>
      </c>
      <c r="P6" s="29"/>
    </row>
    <row r="7" spans="2:16">
      <c r="B7" s="18" t="s">
        <v>246</v>
      </c>
      <c r="C7" s="18" t="str">
        <f>'Uncertainty Analysis'!C16</f>
        <v xml:space="preserve">1st order </v>
      </c>
      <c r="D7" s="18" t="str">
        <f>'Uncertainty Analysis'!D16</f>
        <v>AI training electricity consumption</v>
      </c>
      <c r="E7" s="226">
        <f>'Uncertainty Analysis'!P16</f>
        <v>6.4799999999999995</v>
      </c>
      <c r="F7" s="27" t="s">
        <v>57</v>
      </c>
      <c r="G7" s="130">
        <v>-0.05</v>
      </c>
      <c r="H7" s="130">
        <v>0.05</v>
      </c>
      <c r="I7" s="227">
        <f t="shared" si="0"/>
        <v>6.8039999999999994</v>
      </c>
      <c r="J7" s="228">
        <f t="shared" si="1"/>
        <v>6.1559999999999997</v>
      </c>
      <c r="K7" s="195">
        <f>-((($E$8*$E$11)-(($E$6*$E$9)+(I7*$E$10))))</f>
        <v>-157560.84637123253</v>
      </c>
      <c r="L7" s="195">
        <f>-((($E$8*$E$11)-(($E$6*$E$9)+(J7*$E$10))))</f>
        <v>-157561.20277123252</v>
      </c>
      <c r="M7" s="129">
        <f t="shared" si="2"/>
        <v>1.8969635620091907E-6</v>
      </c>
      <c r="N7" s="129">
        <f t="shared" si="2"/>
        <v>4.1589511323714135E-6</v>
      </c>
      <c r="O7" s="28" t="str">
        <f t="shared" si="3"/>
        <v>AI training electricity consumption activity data +5%/-5%</v>
      </c>
    </row>
    <row r="8" spans="2:16">
      <c r="B8" s="18" t="s">
        <v>246</v>
      </c>
      <c r="C8" s="18" t="str">
        <f>'Uncertainty Analysis'!C17</f>
        <v xml:space="preserve">2nd order </v>
      </c>
      <c r="D8" s="18" t="str">
        <f>'Uncertainty Analysis'!D17</f>
        <v xml:space="preserve"> electricity reduction (annual)</v>
      </c>
      <c r="E8" s="226">
        <f>'Uncertainty Analysis'!P17</f>
        <v>286481.63799999934</v>
      </c>
      <c r="F8" s="27" t="s">
        <v>57</v>
      </c>
      <c r="G8" s="130">
        <v>-0.05</v>
      </c>
      <c r="H8" s="130">
        <v>0.05</v>
      </c>
      <c r="I8" s="227">
        <f t="shared" si="0"/>
        <v>300805.71989999933</v>
      </c>
      <c r="J8" s="228">
        <f t="shared" si="1"/>
        <v>272157.55609999935</v>
      </c>
      <c r="K8" s="195">
        <f>-(((I8*$E$11)-(($E$6*$E$9)+($E$7*$E$10))))</f>
        <v>-165439.26961623252</v>
      </c>
      <c r="L8" s="195">
        <f>-(((J8*$E$11)-(($E$6*$E$9)+($E$7*$E$10))))</f>
        <v>-149682.77952623251</v>
      </c>
      <c r="M8" s="129">
        <f t="shared" si="2"/>
        <v>5.0004409462887089E-2</v>
      </c>
      <c r="N8" s="129">
        <f t="shared" si="2"/>
        <v>-4.9998353548193042E-2</v>
      </c>
      <c r="O8" s="28" t="str">
        <f t="shared" si="3"/>
        <v xml:space="preserve"> electricity reduction (annual) activity data +5%/-5%</v>
      </c>
    </row>
    <row r="9" spans="2:16">
      <c r="B9" s="18" t="s">
        <v>248</v>
      </c>
      <c r="C9" s="18" t="str">
        <f>'Uncertainty Analysis'!C18</f>
        <v xml:space="preserve">1st order </v>
      </c>
      <c r="D9" s="18" t="str">
        <f>'Uncertainty Analysis'!D18</f>
        <v>Laptop emissions (proxy) per training</v>
      </c>
      <c r="E9" s="226">
        <f>'Uncertainty Analysis'!P18</f>
        <v>0.31232876712328766</v>
      </c>
      <c r="F9" s="27" t="s">
        <v>249</v>
      </c>
      <c r="G9" s="130">
        <v>-0.05</v>
      </c>
      <c r="H9" s="130">
        <v>0.05</v>
      </c>
      <c r="I9" s="227">
        <f t="shared" si="0"/>
        <v>0.32794520547945205</v>
      </c>
      <c r="J9" s="228">
        <f t="shared" si="1"/>
        <v>0.29671232876712328</v>
      </c>
      <c r="K9" s="195">
        <f>-((($E$8*$E$11)-(($E$6*I9)+($E$7*$E$10))))</f>
        <v>-157561.00895479418</v>
      </c>
      <c r="L9" s="195">
        <f>-((($E$8*$E$11)-(($E$6*J9)+($E$7*$E$10))))</f>
        <v>-157561.04018767088</v>
      </c>
      <c r="M9" s="129">
        <f t="shared" si="2"/>
        <v>2.9288434597596336E-6</v>
      </c>
      <c r="N9" s="129">
        <f t="shared" si="2"/>
        <v>3.127071234398926E-6</v>
      </c>
      <c r="O9" s="28" t="str">
        <f t="shared" si="3"/>
        <v>Laptop emissions (proxy) per training emission factor +5%/-5%</v>
      </c>
    </row>
    <row r="10" spans="2:16">
      <c r="B10" s="18" t="s">
        <v>248</v>
      </c>
      <c r="C10" s="18" t="str">
        <f>'Uncertainty Analysis'!C19</f>
        <v xml:space="preserve">1st order </v>
      </c>
      <c r="D10" s="18" t="str">
        <f>'Uncertainty Analysis'!D19</f>
        <v>Electricity grid EF (for AI training)</v>
      </c>
      <c r="E10" s="226">
        <f>'Uncertainty Analysis'!P19</f>
        <v>0.55000000000000004</v>
      </c>
      <c r="F10" s="27" t="s">
        <v>157</v>
      </c>
      <c r="G10" s="130">
        <v>-0.05</v>
      </c>
      <c r="H10" s="130">
        <v>0.05</v>
      </c>
      <c r="I10" s="227">
        <f t="shared" si="0"/>
        <v>0.57750000000000012</v>
      </c>
      <c r="J10" s="228">
        <f t="shared" si="1"/>
        <v>0.52249999999999996</v>
      </c>
      <c r="K10" s="195">
        <f>-((($E$8*$E$11)-(($E$6*$E$9)+($E$7*I10))))</f>
        <v>-157560.84637123253</v>
      </c>
      <c r="L10" s="195">
        <f>-((($E$8*$E$11)-(($E$6*$E$9)+($E$7*J10))))</f>
        <v>-157561.20277123252</v>
      </c>
      <c r="M10" s="129">
        <f t="shared" si="2"/>
        <v>1.8969635620091907E-6</v>
      </c>
      <c r="N10" s="129">
        <f t="shared" si="2"/>
        <v>4.1589511323714135E-6</v>
      </c>
      <c r="O10" s="28" t="str">
        <f t="shared" si="3"/>
        <v>Electricity grid EF (for AI training) emission factor +5%/-5%</v>
      </c>
    </row>
    <row r="11" spans="2:16">
      <c r="B11" s="18" t="s">
        <v>248</v>
      </c>
      <c r="C11" s="18" t="str">
        <f>'Uncertainty Analysis'!C20</f>
        <v xml:space="preserve">2nd order </v>
      </c>
      <c r="D11" s="18" t="str">
        <f>'Uncertainty Analysis'!D20</f>
        <v>Electricity grid EF (for avoided emissions)</v>
      </c>
      <c r="E11" s="226">
        <f>'Uncertainty Analysis'!P20</f>
        <v>0.55000000000000004</v>
      </c>
      <c r="F11" s="27" t="s">
        <v>157</v>
      </c>
      <c r="G11" s="130">
        <v>-0.05</v>
      </c>
      <c r="H11" s="130">
        <v>0.05</v>
      </c>
      <c r="I11" s="227">
        <f t="shared" si="0"/>
        <v>0.57750000000000012</v>
      </c>
      <c r="J11" s="228">
        <f t="shared" si="1"/>
        <v>0.52249999999999996</v>
      </c>
      <c r="K11" s="195">
        <f>-((($E$8*I11)-(($E$6*$E$9)+($E$7*$E$10))))</f>
        <v>-165439.26961623252</v>
      </c>
      <c r="L11" s="195">
        <f>-((($E$8*J11)-(($E$6*$E$9)+($E$7*$E$10))))</f>
        <v>-149682.77952623251</v>
      </c>
      <c r="M11" s="129">
        <f t="shared" si="2"/>
        <v>5.0004409462887089E-2</v>
      </c>
      <c r="N11" s="129">
        <f t="shared" si="2"/>
        <v>-4.9998353548193042E-2</v>
      </c>
      <c r="O11" s="28" t="str">
        <f t="shared" si="3"/>
        <v>Electricity grid EF (for avoided emissions) emission factor +5%/-5%</v>
      </c>
    </row>
    <row r="12" spans="2:16">
      <c r="B12"/>
      <c r="C12"/>
      <c r="D12"/>
      <c r="E12"/>
      <c r="F12"/>
      <c r="G12"/>
      <c r="H12"/>
      <c r="I12"/>
      <c r="J12"/>
      <c r="K12"/>
      <c r="L12"/>
      <c r="M12" s="273"/>
      <c r="N12" s="273"/>
      <c r="O12"/>
    </row>
    <row r="13" spans="2:16">
      <c r="B13"/>
      <c r="C13"/>
      <c r="D13"/>
      <c r="E13"/>
      <c r="F13"/>
      <c r="G13"/>
      <c r="H13"/>
      <c r="I13"/>
      <c r="J13"/>
      <c r="K13"/>
      <c r="L13"/>
      <c r="M13" s="273"/>
      <c r="N13" s="273"/>
      <c r="O13"/>
    </row>
    <row r="14" spans="2:16">
      <c r="B14"/>
      <c r="C14"/>
      <c r="D14"/>
      <c r="E14"/>
      <c r="F14"/>
      <c r="G14"/>
      <c r="H14"/>
      <c r="I14"/>
      <c r="J14"/>
      <c r="K14"/>
      <c r="L14"/>
      <c r="M14" s="273"/>
      <c r="N14" s="273"/>
      <c r="O14"/>
    </row>
    <row r="15" spans="2:16">
      <c r="B15"/>
      <c r="C15"/>
      <c r="D15"/>
      <c r="E15"/>
      <c r="F15"/>
      <c r="G15"/>
      <c r="H15"/>
      <c r="I15"/>
      <c r="J15"/>
      <c r="K15"/>
      <c r="L15"/>
      <c r="M15" s="273"/>
      <c r="N15" s="273"/>
      <c r="O15"/>
    </row>
    <row r="16" spans="2:16" ht="84.6" customHeight="1">
      <c r="C16" s="34" t="s">
        <v>250</v>
      </c>
      <c r="G16" s="320" t="s">
        <v>251</v>
      </c>
      <c r="H16" s="320"/>
      <c r="K16" s="34" t="s">
        <v>252</v>
      </c>
      <c r="L16" s="24"/>
      <c r="M16" s="34" t="s">
        <v>253</v>
      </c>
      <c r="N16" s="34" t="s">
        <v>253</v>
      </c>
    </row>
  </sheetData>
  <mergeCells count="1">
    <mergeCell ref="G16:H1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79B5E-0C19-44E8-8909-70D216358FF4}">
  <sheetPr>
    <tabColor rgb="FF283C71"/>
  </sheetPr>
  <dimension ref="B1:F18"/>
  <sheetViews>
    <sheetView workbookViewId="0">
      <selection activeCell="C10" sqref="C10"/>
    </sheetView>
  </sheetViews>
  <sheetFormatPr defaultRowHeight="14.45"/>
  <cols>
    <col min="1" max="1" width="3.875" customWidth="1"/>
    <col min="2" max="2" width="30" customWidth="1"/>
    <col min="3" max="3" width="29.125" bestFit="1" customWidth="1"/>
    <col min="4" max="4" width="18.375" bestFit="1" customWidth="1"/>
    <col min="5" max="5" width="25.375" bestFit="1" customWidth="1"/>
    <col min="6" max="6" width="69.25" bestFit="1" customWidth="1"/>
    <col min="7" max="7" width="78.75" bestFit="1" customWidth="1"/>
    <col min="11" max="11" width="21.125" bestFit="1" customWidth="1"/>
    <col min="12" max="12" width="13.125" customWidth="1"/>
    <col min="13" max="13" width="15.75" customWidth="1"/>
    <col min="14" max="14" width="40.5" customWidth="1"/>
  </cols>
  <sheetData>
    <row r="1" spans="2:6" ht="24.6">
      <c r="B1" s="51" t="s">
        <v>254</v>
      </c>
    </row>
    <row r="3" spans="2:6" ht="19.5">
      <c r="B3" s="111" t="s">
        <v>255</v>
      </c>
    </row>
    <row r="5" spans="2:6">
      <c r="B5" s="321" t="s">
        <v>256</v>
      </c>
      <c r="C5" s="321"/>
      <c r="D5" s="321"/>
      <c r="E5" s="176"/>
      <c r="F5" s="176"/>
    </row>
    <row r="6" spans="2:6">
      <c r="B6" s="322" t="s">
        <v>257</v>
      </c>
      <c r="C6" s="322"/>
      <c r="D6" s="322"/>
      <c r="E6" s="322"/>
      <c r="F6" s="322"/>
    </row>
    <row r="7" spans="2:6" ht="15" customHeight="1">
      <c r="B7" s="175" t="s">
        <v>258</v>
      </c>
      <c r="C7" s="323" t="s">
        <v>259</v>
      </c>
      <c r="D7" s="323"/>
      <c r="E7" s="323"/>
      <c r="F7" s="323"/>
    </row>
    <row r="8" spans="2:6">
      <c r="B8" s="177"/>
      <c r="C8" s="176"/>
      <c r="D8" s="176"/>
      <c r="E8" s="178"/>
      <c r="F8" s="176"/>
    </row>
    <row r="9" spans="2:6">
      <c r="B9" s="179" t="s">
        <v>260</v>
      </c>
      <c r="C9" s="180" t="s">
        <v>80</v>
      </c>
      <c r="D9" s="180" t="s">
        <v>79</v>
      </c>
      <c r="E9" s="180" t="s">
        <v>154</v>
      </c>
      <c r="F9" s="180" t="s">
        <v>261</v>
      </c>
    </row>
    <row r="10" spans="2:6">
      <c r="B10" s="181" t="s">
        <v>262</v>
      </c>
      <c r="C10" s="229">
        <v>7.26</v>
      </c>
      <c r="D10" s="182" t="s">
        <v>105</v>
      </c>
      <c r="E10" s="182" t="s">
        <v>104</v>
      </c>
      <c r="F10" s="182" t="s">
        <v>263</v>
      </c>
    </row>
    <row r="11" spans="2:6">
      <c r="B11" s="183" t="s">
        <v>264</v>
      </c>
      <c r="C11" s="230">
        <v>411047</v>
      </c>
      <c r="D11" s="185" t="s">
        <v>83</v>
      </c>
      <c r="E11" s="184" t="s">
        <v>118</v>
      </c>
      <c r="F11" s="184" t="s">
        <v>265</v>
      </c>
    </row>
    <row r="12" spans="2:6">
      <c r="B12" s="175" t="s">
        <v>266</v>
      </c>
      <c r="C12" s="176"/>
      <c r="D12" s="176"/>
      <c r="E12" s="176"/>
      <c r="F12" s="176"/>
    </row>
    <row r="13" spans="2:6">
      <c r="B13" s="322" t="s">
        <v>267</v>
      </c>
      <c r="C13" s="322"/>
      <c r="D13" s="322"/>
      <c r="E13" s="322"/>
      <c r="F13" s="322"/>
    </row>
    <row r="14" spans="2:6" ht="15" customHeight="1">
      <c r="B14" s="175" t="s">
        <v>268</v>
      </c>
      <c r="C14" s="323" t="s">
        <v>269</v>
      </c>
      <c r="D14" s="323"/>
      <c r="E14" s="323"/>
      <c r="F14" s="323"/>
    </row>
    <row r="15" spans="2:6">
      <c r="B15" s="177"/>
      <c r="C15" s="176"/>
      <c r="D15" s="176"/>
      <c r="E15" s="178"/>
      <c r="F15" s="176"/>
    </row>
    <row r="16" spans="2:6">
      <c r="B16" s="179" t="s">
        <v>260</v>
      </c>
      <c r="C16" s="180" t="s">
        <v>80</v>
      </c>
      <c r="D16" s="180" t="s">
        <v>79</v>
      </c>
      <c r="E16" s="180" t="s">
        <v>154</v>
      </c>
      <c r="F16" s="180" t="s">
        <v>261</v>
      </c>
    </row>
    <row r="17" spans="2:6">
      <c r="B17" s="181" t="s">
        <v>262</v>
      </c>
      <c r="C17" s="229">
        <v>6.79</v>
      </c>
      <c r="D17" s="182" t="s">
        <v>105</v>
      </c>
      <c r="E17" s="182" t="s">
        <v>104</v>
      </c>
      <c r="F17" s="182" t="s">
        <v>263</v>
      </c>
    </row>
    <row r="18" spans="2:6">
      <c r="B18" s="183" t="s">
        <v>264</v>
      </c>
      <c r="C18" s="230">
        <v>542737</v>
      </c>
      <c r="D18" s="185" t="s">
        <v>83</v>
      </c>
      <c r="E18" s="184" t="s">
        <v>118</v>
      </c>
      <c r="F18" s="184" t="s">
        <v>270</v>
      </c>
    </row>
  </sheetData>
  <mergeCells count="5">
    <mergeCell ref="B5:D5"/>
    <mergeCell ref="B6:F6"/>
    <mergeCell ref="C7:F7"/>
    <mergeCell ref="B13:F13"/>
    <mergeCell ref="C14:F1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B5BED-F060-49DF-B563-BFA72F7BC225}">
  <sheetPr>
    <tabColor rgb="FF283C71"/>
  </sheetPr>
  <dimension ref="B2:H26"/>
  <sheetViews>
    <sheetView topLeftCell="B1" zoomScale="85" zoomScaleNormal="85" workbookViewId="0">
      <selection activeCell="C13" sqref="C13"/>
    </sheetView>
  </sheetViews>
  <sheetFormatPr defaultColWidth="9" defaultRowHeight="14.45"/>
  <cols>
    <col min="1" max="1" width="9" style="48"/>
    <col min="2" max="2" width="226.5" style="48" bestFit="1" customWidth="1"/>
    <col min="3" max="3" width="39.375" style="48" customWidth="1"/>
    <col min="4" max="4" width="21.5" style="48" bestFit="1" customWidth="1"/>
    <col min="5" max="5" width="31.125" style="48" bestFit="1" customWidth="1"/>
    <col min="6" max="6" width="70.125" style="48" bestFit="1" customWidth="1"/>
    <col min="7" max="7" width="10.625" style="92" bestFit="1" customWidth="1"/>
    <col min="8" max="8" width="52.75" style="92" bestFit="1" customWidth="1"/>
    <col min="9" max="9" width="27.75" style="48" bestFit="1" customWidth="1"/>
    <col min="10" max="10" width="35.25" style="48" bestFit="1" customWidth="1"/>
    <col min="11" max="16384" width="9" style="48"/>
  </cols>
  <sheetData>
    <row r="2" spans="2:8" ht="24.6">
      <c r="B2" s="91" t="s">
        <v>271</v>
      </c>
    </row>
    <row r="3" spans="2:8" ht="24.6">
      <c r="B3" s="91"/>
    </row>
    <row r="4" spans="2:8" ht="18" customHeight="1">
      <c r="B4" s="93" t="s">
        <v>272</v>
      </c>
    </row>
    <row r="5" spans="2:8" ht="19.5">
      <c r="B5" s="107" t="s">
        <v>273</v>
      </c>
    </row>
    <row r="6" spans="2:8" ht="19.5">
      <c r="B6" s="108" t="s">
        <v>77</v>
      </c>
    </row>
    <row r="8" spans="2:8" s="94" customFormat="1" ht="19.5">
      <c r="B8" s="95" t="s">
        <v>274</v>
      </c>
      <c r="G8" s="96"/>
      <c r="H8" s="96"/>
    </row>
    <row r="10" spans="2:8" ht="19.5">
      <c r="B10" s="97" t="s">
        <v>275</v>
      </c>
    </row>
    <row r="12" spans="2:8" ht="19.5">
      <c r="B12" s="280" t="s">
        <v>276</v>
      </c>
      <c r="C12" s="280" t="s">
        <v>277</v>
      </c>
      <c r="D12" s="280" t="s">
        <v>278</v>
      </c>
      <c r="E12" s="280" t="s">
        <v>279</v>
      </c>
      <c r="F12" s="281" t="s">
        <v>280</v>
      </c>
      <c r="G12" s="281" t="s">
        <v>281</v>
      </c>
      <c r="H12" s="281" t="s">
        <v>154</v>
      </c>
    </row>
    <row r="13" spans="2:8" ht="29.1">
      <c r="B13" s="276">
        <f>E13*(F13/G13)</f>
        <v>0.31232876712328766</v>
      </c>
      <c r="C13" s="277">
        <v>152</v>
      </c>
      <c r="D13" s="278">
        <v>4</v>
      </c>
      <c r="E13" s="275">
        <f>C13/D13</f>
        <v>38</v>
      </c>
      <c r="F13" s="278">
        <v>72</v>
      </c>
      <c r="G13" s="278">
        <v>8760</v>
      </c>
      <c r="H13" s="274" t="s">
        <v>282</v>
      </c>
    </row>
    <row r="14" spans="2:8" ht="19.5">
      <c r="B14" s="171" t="s">
        <v>283</v>
      </c>
      <c r="E14" s="110"/>
    </row>
    <row r="15" spans="2:8">
      <c r="B15" s="48" t="s">
        <v>284</v>
      </c>
    </row>
    <row r="17" spans="2:8" s="94" customFormat="1" ht="19.5">
      <c r="B17" s="95" t="s">
        <v>285</v>
      </c>
    </row>
    <row r="19" spans="2:8" ht="19.5">
      <c r="B19" s="110" t="s">
        <v>286</v>
      </c>
    </row>
    <row r="20" spans="2:8">
      <c r="B20" s="92"/>
    </row>
    <row r="21" spans="2:8" ht="19.5">
      <c r="B21" s="279" t="s">
        <v>135</v>
      </c>
      <c r="C21" s="279" t="s">
        <v>80</v>
      </c>
      <c r="D21" s="279" t="s">
        <v>79</v>
      </c>
      <c r="E21" s="279" t="s">
        <v>154</v>
      </c>
      <c r="F21" s="279" t="s">
        <v>287</v>
      </c>
      <c r="H21" s="48"/>
    </row>
    <row r="22" spans="2:8" ht="19.5">
      <c r="B22" s="40" t="s">
        <v>288</v>
      </c>
      <c r="C22" s="282">
        <v>0.09</v>
      </c>
      <c r="D22" s="40" t="s">
        <v>289</v>
      </c>
      <c r="E22" s="40" t="s">
        <v>290</v>
      </c>
      <c r="F22" s="40" t="s">
        <v>291</v>
      </c>
      <c r="H22" s="48"/>
    </row>
    <row r="23" spans="2:8" ht="19.5">
      <c r="B23" s="40" t="s">
        <v>292</v>
      </c>
      <c r="C23" s="283">
        <v>72</v>
      </c>
      <c r="D23" s="40" t="s">
        <v>145</v>
      </c>
      <c r="E23" s="40" t="s">
        <v>290</v>
      </c>
      <c r="F23" s="40" t="s">
        <v>293</v>
      </c>
      <c r="H23" s="48"/>
    </row>
    <row r="24" spans="2:8" ht="19.5">
      <c r="B24" s="98" t="s">
        <v>294</v>
      </c>
      <c r="C24" s="275">
        <f>C22*C23</f>
        <v>6.4799999999999995</v>
      </c>
      <c r="D24" s="98" t="s">
        <v>295</v>
      </c>
      <c r="E24" s="98" t="s">
        <v>296</v>
      </c>
      <c r="F24" s="109" t="s">
        <v>297</v>
      </c>
      <c r="H24" s="48"/>
    </row>
    <row r="25" spans="2:8" ht="19.5">
      <c r="B25" s="98" t="s">
        <v>298</v>
      </c>
      <c r="C25" s="276">
        <f>C24*Backend!$E$31</f>
        <v>3.5640000000000001</v>
      </c>
      <c r="D25" s="98" t="s">
        <v>137</v>
      </c>
      <c r="E25" s="98" t="s">
        <v>296</v>
      </c>
      <c r="F25" s="98" t="s">
        <v>299</v>
      </c>
      <c r="H25" s="48"/>
    </row>
    <row r="26" spans="2:8" ht="19.5">
      <c r="B26" s="274" t="s">
        <v>300</v>
      </c>
      <c r="C26" s="276">
        <f>B13</f>
        <v>0.31232876712328766</v>
      </c>
      <c r="D26" s="98" t="s">
        <v>137</v>
      </c>
      <c r="E26" s="98" t="s">
        <v>159</v>
      </c>
      <c r="F26" s="98" t="s">
        <v>301</v>
      </c>
    </row>
  </sheetData>
  <hyperlinks>
    <hyperlink ref="E13" r:id="rId1" display="https://www.apple.com/environment/pdf/products/notebooks/MacBook_Air_15-inch_PER_June2023.pdf" xr:uid="{84603259-500B-4989-B61F-B67DB80C121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C4D43-D37E-41A5-AA7D-A88C7B75E9AD}">
  <sheetPr>
    <tabColor rgb="FF283C71"/>
  </sheetPr>
  <dimension ref="B2:E9"/>
  <sheetViews>
    <sheetView topLeftCell="A5" workbookViewId="0">
      <selection activeCell="B10" sqref="B10"/>
    </sheetView>
  </sheetViews>
  <sheetFormatPr defaultRowHeight="14.45"/>
  <cols>
    <col min="2" max="2" width="198.375" bestFit="1" customWidth="1"/>
    <col min="3" max="3" width="38.875" bestFit="1" customWidth="1"/>
    <col min="4" max="4" width="21.375" bestFit="1" customWidth="1"/>
    <col min="5" max="5" width="23.125" style="57" bestFit="1" customWidth="1"/>
  </cols>
  <sheetData>
    <row r="2" spans="2:5" ht="24.6">
      <c r="B2" s="51" t="s">
        <v>302</v>
      </c>
    </row>
    <row r="4" spans="2:5" ht="19.5">
      <c r="B4" s="158" t="s">
        <v>303</v>
      </c>
      <c r="C4" s="158" t="s">
        <v>304</v>
      </c>
      <c r="D4" s="158" t="s">
        <v>305</v>
      </c>
      <c r="E4" s="157" t="s">
        <v>306</v>
      </c>
    </row>
    <row r="5" spans="2:5" ht="234">
      <c r="B5" s="44" t="s">
        <v>307</v>
      </c>
      <c r="C5" s="159" t="s">
        <v>282</v>
      </c>
      <c r="D5" s="44" t="s">
        <v>308</v>
      </c>
      <c r="E5" s="159"/>
    </row>
    <row r="6" spans="2:5" ht="39">
      <c r="B6" s="44" t="s">
        <v>309</v>
      </c>
      <c r="C6" s="159"/>
      <c r="D6" s="43"/>
      <c r="E6" s="159"/>
    </row>
    <row r="7" spans="2:5" ht="117">
      <c r="B7" s="41" t="s">
        <v>310</v>
      </c>
      <c r="C7" s="160"/>
      <c r="D7" s="160"/>
      <c r="E7" s="56"/>
    </row>
    <row r="8" spans="2:5" ht="39">
      <c r="B8" s="41" t="s">
        <v>311</v>
      </c>
      <c r="C8" s="160"/>
      <c r="D8" s="160"/>
      <c r="E8" s="56"/>
    </row>
    <row r="9" spans="2:5" ht="19.5">
      <c r="B9" s="41" t="s">
        <v>312</v>
      </c>
      <c r="C9" s="160" t="s">
        <v>156</v>
      </c>
      <c r="D9" s="160"/>
      <c r="E9" s="56"/>
    </row>
  </sheetData>
  <hyperlinks>
    <hyperlink ref="C5" r:id="rId1" xr:uid="{3A0027F7-24EB-4AAA-9A76-FAE6642C8A2A}"/>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06324-C1F9-4FB6-95B7-331A7695238E}">
  <sheetPr>
    <tabColor rgb="FF183C73"/>
  </sheetPr>
  <dimension ref="B2:N9"/>
  <sheetViews>
    <sheetView workbookViewId="0">
      <selection activeCell="D16" sqref="D16"/>
    </sheetView>
  </sheetViews>
  <sheetFormatPr defaultRowHeight="14.45"/>
  <cols>
    <col min="2" max="2" width="58.75" customWidth="1"/>
    <col min="3" max="3" width="51.375" bestFit="1" customWidth="1"/>
    <col min="4" max="4" width="42.125" customWidth="1"/>
    <col min="5" max="5" width="31" bestFit="1" customWidth="1"/>
    <col min="6" max="6" width="17.375" customWidth="1"/>
    <col min="7" max="7" width="24.25" customWidth="1"/>
    <col min="8" max="8" width="11.5" customWidth="1"/>
    <col min="9" max="13" width="18" customWidth="1"/>
    <col min="14" max="14" width="11.75" customWidth="1"/>
  </cols>
  <sheetData>
    <row r="2" spans="2:14" ht="27.95">
      <c r="B2" s="52" t="s">
        <v>151</v>
      </c>
    </row>
    <row r="4" spans="2:14" ht="19.5">
      <c r="B4" s="53" t="s">
        <v>33</v>
      </c>
      <c r="C4" s="53" t="s">
        <v>313</v>
      </c>
      <c r="D4" s="294" t="s">
        <v>154</v>
      </c>
    </row>
    <row r="5" spans="2:14" s="48" customFormat="1" ht="19.5">
      <c r="B5" s="139" t="s">
        <v>34</v>
      </c>
      <c r="C5" s="231">
        <v>0.55000000000000004</v>
      </c>
      <c r="D5" s="293" t="s">
        <v>156</v>
      </c>
    </row>
    <row r="7" spans="2:14" ht="21" hidden="1">
      <c r="B7" s="54" t="s">
        <v>314</v>
      </c>
      <c r="C7" s="54"/>
      <c r="D7" s="111"/>
      <c r="E7" s="111"/>
      <c r="F7" s="111"/>
      <c r="G7" s="111"/>
      <c r="H7" s="111"/>
      <c r="I7" s="111"/>
      <c r="J7" s="111"/>
      <c r="K7" s="111"/>
      <c r="L7" s="111"/>
      <c r="M7" s="111"/>
      <c r="N7" s="111"/>
    </row>
    <row r="8" spans="2:14" ht="19.5" hidden="1">
      <c r="B8" s="58" t="s">
        <v>151</v>
      </c>
      <c r="C8" s="59" t="s">
        <v>315</v>
      </c>
      <c r="D8" s="59" t="s">
        <v>316</v>
      </c>
      <c r="E8" s="59" t="s">
        <v>79</v>
      </c>
      <c r="F8" s="60" t="s">
        <v>154</v>
      </c>
    </row>
    <row r="9" spans="2:14" ht="19.5" hidden="1">
      <c r="B9" s="162"/>
      <c r="C9" s="101"/>
      <c r="D9" s="210"/>
      <c r="E9" s="163"/>
      <c r="F9" s="164"/>
    </row>
  </sheetData>
  <hyperlinks>
    <hyperlink ref="D5" r:id="rId1" xr:uid="{FD3D86A5-9374-4C88-A690-6DFA4437E0E8}"/>
  </hyperlinks>
  <pageMargins left="0.7" right="0.7" top="0.75" bottom="0.75" header="0.3" footer="0.3"/>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884CFDACAA4A4391E63416A81F8F9C" ma:contentTypeVersion="13" ma:contentTypeDescription="Create a new document." ma:contentTypeScope="" ma:versionID="e9008accf46ca8563d2d2a2de20db013">
  <xsd:schema xmlns:xsd="http://www.w3.org/2001/XMLSchema" xmlns:xs="http://www.w3.org/2001/XMLSchema" xmlns:p="http://schemas.microsoft.com/office/2006/metadata/properties" xmlns:ns2="b9bdbf82-f34d-47d4-a4b8-414c81da163d" xmlns:ns3="f04c5165-4bd4-4c8a-a40e-5701edfc4e4f" targetNamespace="http://schemas.microsoft.com/office/2006/metadata/properties" ma:root="true" ma:fieldsID="468ccd572510d7ebc0e69b608f5dabec" ns2:_="" ns3:_="">
    <xsd:import namespace="b9bdbf82-f34d-47d4-a4b8-414c81da163d"/>
    <xsd:import namespace="f04c5165-4bd4-4c8a-a40e-5701edfc4e4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TranslatedLang"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bdbf82-f34d-47d4-a4b8-414c81da16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46b3755e-5856-4399-9d86-976471c28120"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TranslatedLang" ma:index="19" nillable="true" ma:displayName="Translated Language" ma:internalName="TranslatedLang">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04c5165-4bd4-4c8a-a40e-5701edfc4e4f"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bc8f3db-0d25-4d0b-b0ab-548255e2df34}" ma:internalName="TaxCatchAll" ma:showField="CatchAllData" ma:web="f04c5165-4bd4-4c8a-a40e-5701edfc4e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04c5165-4bd4-4c8a-a40e-5701edfc4e4f" xsi:nil="true"/>
    <lcf76f155ced4ddcb4097134ff3c332f xmlns="b9bdbf82-f34d-47d4-a4b8-414c81da163d">
      <Terms xmlns="http://schemas.microsoft.com/office/infopath/2007/PartnerControls"/>
    </lcf76f155ced4ddcb4097134ff3c332f>
    <TranslatedLang xmlns="b9bdbf82-f34d-47d4-a4b8-414c81da163d" xsi:nil="true"/>
  </documentManagement>
</p:properties>
</file>

<file path=customXml/itemProps1.xml><?xml version="1.0" encoding="utf-8"?>
<ds:datastoreItem xmlns:ds="http://schemas.openxmlformats.org/officeDocument/2006/customXml" ds:itemID="{D97CFAE1-BBDA-4D83-B305-9ABA03F704D1}"/>
</file>

<file path=customXml/itemProps2.xml><?xml version="1.0" encoding="utf-8"?>
<ds:datastoreItem xmlns:ds="http://schemas.openxmlformats.org/officeDocument/2006/customXml" ds:itemID="{7F4BCB2D-76C5-4051-BEDE-B981B046EF75}"/>
</file>

<file path=customXml/itemProps3.xml><?xml version="1.0" encoding="utf-8"?>
<ds:datastoreItem xmlns:ds="http://schemas.openxmlformats.org/officeDocument/2006/customXml" ds:itemID="{8823690A-85BF-4C4A-9C4C-417567B4A520}"/>
</file>

<file path=docMetadata/LabelInfo.xml><?xml version="1.0" encoding="utf-8"?>
<clbl:labelList xmlns:clbl="http://schemas.microsoft.com/office/2020/mipLabelMetadata">
  <clbl:label id="{96e14e5a-57ac-48d7-851d-12f54eff5a60}" enabled="0" method="" siteId="{96e14e5a-57ac-48d7-851d-12f54eff5a60}"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Beatriz Fialho da Silva</dc:creator>
  <cp:keywords/>
  <dc:description/>
  <cp:lastModifiedBy>Alex Stokell</cp:lastModifiedBy>
  <cp:revision/>
  <dcterms:created xsi:type="dcterms:W3CDTF">2021-03-04T12:00:57Z</dcterms:created>
  <dcterms:modified xsi:type="dcterms:W3CDTF">2026-04-24T11:48:35Z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0x01010039884CFDACAA4A4391E63416A81F8F9C</vt:lpwstr>
  </property>
  <property fmtid="{D5CDD505-2E9C-101B-9397-08002B2CF9AE}" pid="3" name="CustomerId">
    <vt:lpwstr>carbontrust</vt:lpwstr>
  </property>
  <property fmtid="{D5CDD505-2E9C-101B-9397-08002B2CF9AE}" pid="4" name="TemplateId">
    <vt:lpwstr>637511402857749439</vt:lpwstr>
  </property>
  <property fmtid="{D5CDD505-2E9C-101B-9397-08002B2CF9AE}" pid="5" name="UserProfileId">
    <vt:lpwstr>637465589768188597</vt:lpwstr>
  </property>
  <property fmtid="{D5CDD505-2E9C-101B-9397-08002B2CF9AE}" pid="6" name="MediaServiceImageTags">
    <vt:lpwstr/>
  </property>
</Properties>
</file>